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fileSharing readOnlyRecommended="1"/>
  <workbookPr defaultThemeVersion="166925"/>
  <mc:AlternateContent xmlns:mc="http://schemas.openxmlformats.org/markup-compatibility/2006">
    <mc:Choice Requires="x15">
      <x15ac:absPath xmlns:x15ac="http://schemas.microsoft.com/office/spreadsheetml/2010/11/ac" url="https://sustrans.sharepoint.com/sites/INT-PUB-14751-07SRP9modellingnetzero/Shared Documents/General/"/>
    </mc:Choice>
  </mc:AlternateContent>
  <xr:revisionPtr revIDLastSave="37" documentId="10_ncr:8000_{A066170C-E363-43C7-A216-8029CADC3EA2}" xr6:coauthVersionLast="47" xr6:coauthVersionMax="47" xr10:uidLastSave="{FFFCCE83-7F6C-42C5-8E82-EEF5D4116ADA}"/>
  <workbookProtection workbookAlgorithmName="SHA-512" workbookHashValue="SaksJ/GXPOaV7di8H+1rwNY9MCkiorFh3juXG4AaLmfnd7/+dV8U0WprVmRKsG70NWsM0q/qQ6FJAioOodpjYA==" workbookSaltValue="dzos96fIIbuKOfjkCCNX4A==" workbookSpinCount="100000" lockStructure="1"/>
  <bookViews>
    <workbookView xWindow="28680" yWindow="-4155" windowWidth="29040" windowHeight="15840" xr2:uid="{00000000-000D-0000-FFFF-FFFF00000000}"/>
  </bookViews>
  <sheets>
    <sheet name="Main Dashboard" sheetId="22" r:id="rId1"/>
    <sheet name="QA" sheetId="23" state="hidden" r:id="rId2"/>
    <sheet name="Navigation" sheetId="11" r:id="rId3"/>
    <sheet name="Dashboard calculations" sheetId="10" r:id="rId4"/>
    <sheet name="Tatis Tables (2021)" sheetId="12" r:id="rId5"/>
    <sheet name="Historical Transport Emissions" sheetId="9" r:id="rId6"/>
    <sheet name="gCO2e for various Transport" sheetId="19" r:id="rId7"/>
    <sheet name="2023 ghg conversion factors" sheetId="13" r:id="rId8"/>
    <sheet name="GG emissions by transport type" sheetId="14" r:id="rId9"/>
    <sheet name="Scottish Fleet Size" sheetId="7" r:id="rId10"/>
    <sheet name="Cold Start Emissions" sheetId="17" r:id="rId11"/>
    <sheet name="Data Validation tables" sheetId="16" state="hidden" r:id="rId12"/>
    <sheet name="Scottish Population" sheetId="8" r:id="rId13"/>
    <sheet name="Background lists" sheetId="4" state="hidden" r:id="rId1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22" l="1"/>
  <c r="G11" i="22"/>
  <c r="H11" i="22" l="1"/>
  <c r="F11" i="22"/>
  <c r="F13" i="22"/>
  <c r="P78" i="12"/>
  <c r="P79" i="12"/>
  <c r="P80" i="12"/>
  <c r="P81" i="12"/>
  <c r="P82" i="12"/>
  <c r="P83" i="12"/>
  <c r="P84" i="12"/>
  <c r="P85" i="12"/>
  <c r="N11" i="22" s="1"/>
  <c r="P77" i="12"/>
  <c r="N10" i="22" l="1"/>
  <c r="N9" i="22"/>
  <c r="L16" i="17" l="1"/>
  <c r="L14" i="17"/>
  <c r="L13" i="17"/>
  <c r="L15" i="17"/>
  <c r="H20" i="12" l="1"/>
  <c r="N50" i="12" s="1"/>
  <c r="V13" i="8" l="1"/>
  <c r="W13" i="8"/>
  <c r="X13" i="8"/>
  <c r="Y13" i="8"/>
  <c r="U13" i="8"/>
  <c r="T13" i="8"/>
  <c r="S13" i="8"/>
  <c r="R13" i="8"/>
  <c r="Q13" i="8"/>
  <c r="P13" i="8"/>
  <c r="O13" i="8"/>
  <c r="N13" i="8"/>
  <c r="M13" i="8"/>
  <c r="L13" i="8"/>
  <c r="K13" i="8"/>
  <c r="J13" i="8"/>
  <c r="I13" i="8"/>
  <c r="H13" i="8"/>
  <c r="G13" i="8"/>
  <c r="F13" i="8"/>
  <c r="E13" i="8"/>
  <c r="D13" i="8"/>
  <c r="C13" i="8"/>
  <c r="B13" i="8"/>
  <c r="AT13" i="8"/>
  <c r="L15" i="19" l="1"/>
  <c r="N52" i="19" l="1"/>
  <c r="N45" i="19"/>
  <c r="L52" i="19"/>
  <c r="N31" i="19"/>
  <c r="M31" i="19"/>
  <c r="L31" i="19"/>
  <c r="L23" i="19"/>
  <c r="N49" i="12"/>
  <c r="K57" i="12"/>
  <c r="P76" i="12" s="1"/>
  <c r="N52" i="12" l="1"/>
  <c r="N55" i="12"/>
  <c r="N51" i="12"/>
  <c r="N53" i="12"/>
  <c r="N54" i="12"/>
  <c r="N48" i="12"/>
  <c r="O48" i="12" s="1"/>
  <c r="N47" i="12"/>
  <c r="O47" i="12" s="1"/>
  <c r="O51" i="12" l="1"/>
  <c r="R68" i="12" s="1"/>
  <c r="P65" i="12"/>
  <c r="S65" i="12"/>
  <c r="Q64" i="12"/>
  <c r="P64" i="12"/>
  <c r="T64" i="12"/>
  <c r="N57" i="12"/>
  <c r="O57" i="12" s="1"/>
  <c r="V35" i="7"/>
  <c r="W35" i="7"/>
  <c r="V36" i="7"/>
  <c r="W36" i="7"/>
  <c r="V37" i="7"/>
  <c r="W37" i="7"/>
  <c r="V38" i="7"/>
  <c r="W38" i="7"/>
  <c r="V31" i="7"/>
  <c r="W31" i="7"/>
  <c r="V32" i="7"/>
  <c r="W32" i="7"/>
  <c r="V33" i="7"/>
  <c r="W33" i="7"/>
  <c r="V34" i="7"/>
  <c r="W34" i="7"/>
  <c r="V30" i="7"/>
  <c r="W30" i="7"/>
  <c r="M52" i="19"/>
  <c r="L45" i="19"/>
  <c r="M45" i="19"/>
  <c r="M38" i="19"/>
  <c r="N38" i="19"/>
  <c r="L38" i="19"/>
  <c r="T15" i="19"/>
  <c r="T14" i="19"/>
  <c r="R15" i="19"/>
  <c r="R14" i="19"/>
  <c r="P15" i="19"/>
  <c r="P14" i="19"/>
  <c r="N15" i="19"/>
  <c r="N14" i="19"/>
  <c r="E57" i="12"/>
  <c r="S14" i="19" l="1"/>
  <c r="O14" i="19"/>
  <c r="U15" i="19"/>
  <c r="O15" i="19"/>
  <c r="Q14" i="19"/>
  <c r="S15" i="19"/>
  <c r="U14" i="19"/>
  <c r="Q15" i="19"/>
  <c r="P47" i="12"/>
  <c r="L14" i="19"/>
  <c r="M23" i="19"/>
  <c r="N23" i="19"/>
  <c r="N53" i="19" l="1"/>
  <c r="N39" i="19"/>
  <c r="L39" i="19"/>
  <c r="M46" i="19"/>
  <c r="M39" i="19"/>
  <c r="L53" i="19"/>
  <c r="M53" i="19"/>
  <c r="N46" i="19"/>
  <c r="L46" i="19"/>
  <c r="M15" i="19"/>
  <c r="M14" i="19"/>
  <c r="AB65" i="12"/>
  <c r="AA65" i="12"/>
  <c r="N24" i="19" l="1"/>
  <c r="L24" i="19"/>
  <c r="M24" i="19"/>
  <c r="R47" i="12"/>
  <c r="AA78" i="12" s="1"/>
  <c r="F57" i="12" l="1"/>
  <c r="G57" i="12"/>
  <c r="H57" i="12"/>
  <c r="I57" i="12"/>
  <c r="J57" i="12"/>
  <c r="L57" i="12"/>
  <c r="M57" i="12"/>
  <c r="D57" i="12"/>
  <c r="R51" i="12" l="1"/>
  <c r="AE82" i="12" s="1"/>
  <c r="P68" i="12"/>
  <c r="V68" i="12"/>
  <c r="W68" i="12"/>
  <c r="Q68" i="12"/>
  <c r="S68" i="12"/>
  <c r="T68" i="12"/>
  <c r="U68" i="12"/>
  <c r="O49" i="12"/>
  <c r="O50" i="12"/>
  <c r="P67" i="12" s="1"/>
  <c r="O54" i="12"/>
  <c r="O53" i="12"/>
  <c r="P70" i="12" s="1"/>
  <c r="O52" i="12"/>
  <c r="O55" i="12"/>
  <c r="P72" i="12" s="1"/>
  <c r="P51" i="12"/>
  <c r="T51" i="12"/>
  <c r="AA13" i="8"/>
  <c r="AB13" i="8"/>
  <c r="AC13" i="8"/>
  <c r="AD13" i="8"/>
  <c r="AE13" i="8"/>
  <c r="AF13" i="8"/>
  <c r="AG13" i="8"/>
  <c r="AH13" i="8"/>
  <c r="AI13" i="8"/>
  <c r="AJ13" i="8"/>
  <c r="AK13" i="8"/>
  <c r="AL13" i="8"/>
  <c r="AM13" i="8"/>
  <c r="AN13" i="8"/>
  <c r="AO13" i="8"/>
  <c r="AP13" i="8"/>
  <c r="AQ13" i="8"/>
  <c r="AR13" i="8"/>
  <c r="AS13" i="8"/>
  <c r="AU13" i="8"/>
  <c r="AV13" i="8"/>
  <c r="AW13" i="8"/>
  <c r="AX13" i="8"/>
  <c r="AY13" i="8"/>
  <c r="AZ13" i="8"/>
  <c r="Z13" i="8"/>
  <c r="AC82" i="12" l="1"/>
  <c r="AD82" i="12"/>
  <c r="AB82" i="12"/>
  <c r="P69" i="12"/>
  <c r="Q69" i="12"/>
  <c r="P66" i="12"/>
  <c r="R66" i="12"/>
  <c r="AF82" i="12"/>
  <c r="R55" i="12"/>
  <c r="AF86" i="12" s="1"/>
  <c r="R49" i="12"/>
  <c r="AH80" i="12" s="1"/>
  <c r="R52" i="12"/>
  <c r="AE83" i="12" s="1"/>
  <c r="AH82" i="12"/>
  <c r="AG82" i="12"/>
  <c r="AA82" i="12"/>
  <c r="R50" i="12"/>
  <c r="AD81" i="12" s="1"/>
  <c r="R53" i="12"/>
  <c r="AA84" i="12" s="1"/>
  <c r="T53" i="12"/>
  <c r="R54" i="12"/>
  <c r="AH85" i="12" s="1"/>
  <c r="T54" i="12"/>
  <c r="R48" i="12"/>
  <c r="P48" i="12"/>
  <c r="U65" i="12"/>
  <c r="T48" i="12"/>
  <c r="V65" i="12"/>
  <c r="T65" i="12"/>
  <c r="Q65" i="12"/>
  <c r="R65" i="12"/>
  <c r="W65" i="12"/>
  <c r="AC95" i="12"/>
  <c r="AD95" i="12"/>
  <c r="AE95" i="12"/>
  <c r="AF95" i="12"/>
  <c r="AA95" i="12"/>
  <c r="AG95" i="12"/>
  <c r="AH95" i="12"/>
  <c r="AB95" i="12"/>
  <c r="AH69" i="12"/>
  <c r="AB69" i="12"/>
  <c r="AE69" i="12"/>
  <c r="AC69" i="12"/>
  <c r="AD69" i="12"/>
  <c r="AA69" i="12"/>
  <c r="AF69" i="12"/>
  <c r="AG69" i="12"/>
  <c r="AG81" i="12"/>
  <c r="V71" i="12"/>
  <c r="Q71" i="12"/>
  <c r="R71" i="12"/>
  <c r="T71" i="12"/>
  <c r="S71" i="12"/>
  <c r="P71" i="12"/>
  <c r="U71" i="12"/>
  <c r="W71" i="12"/>
  <c r="U69" i="12"/>
  <c r="R69" i="12"/>
  <c r="S69" i="12"/>
  <c r="V69" i="12"/>
  <c r="W69" i="12"/>
  <c r="T69" i="12"/>
  <c r="P49" i="12"/>
  <c r="S66" i="12"/>
  <c r="Q66" i="12"/>
  <c r="T66" i="12"/>
  <c r="U66" i="12"/>
  <c r="V66" i="12"/>
  <c r="W66" i="12"/>
  <c r="P50" i="12"/>
  <c r="Q67" i="12"/>
  <c r="R67" i="12"/>
  <c r="S67" i="12"/>
  <c r="T67" i="12"/>
  <c r="U67" i="12"/>
  <c r="W67" i="12"/>
  <c r="V67" i="12"/>
  <c r="U72" i="12"/>
  <c r="V72" i="12"/>
  <c r="W72" i="12"/>
  <c r="Q72" i="12"/>
  <c r="R72" i="12"/>
  <c r="S72" i="12"/>
  <c r="T72" i="12"/>
  <c r="R64" i="12"/>
  <c r="S64" i="12"/>
  <c r="U64" i="12"/>
  <c r="V64" i="12"/>
  <c r="W64" i="12"/>
  <c r="U70" i="12"/>
  <c r="V70" i="12"/>
  <c r="W70" i="12"/>
  <c r="Q70" i="12"/>
  <c r="R70" i="12"/>
  <c r="S70" i="12"/>
  <c r="T70" i="12"/>
  <c r="T49" i="12"/>
  <c r="T50" i="12"/>
  <c r="P53" i="12"/>
  <c r="T47" i="12"/>
  <c r="AA91" i="12" s="1"/>
  <c r="P54" i="12"/>
  <c r="T55" i="12"/>
  <c r="P55" i="12"/>
  <c r="P52" i="12"/>
  <c r="T52" i="12"/>
  <c r="L37" i="7"/>
  <c r="K37" i="7"/>
  <c r="J37" i="7"/>
  <c r="I37" i="7"/>
  <c r="H37" i="7"/>
  <c r="G37" i="7"/>
  <c r="F37" i="7"/>
  <c r="E37" i="7"/>
  <c r="D37" i="7"/>
  <c r="C37" i="7"/>
  <c r="B37" i="7"/>
  <c r="L27" i="7"/>
  <c r="K27" i="7"/>
  <c r="J27" i="7"/>
  <c r="I27" i="7"/>
  <c r="H27" i="7"/>
  <c r="G27" i="7"/>
  <c r="F27" i="7"/>
  <c r="E27" i="7"/>
  <c r="D27" i="7"/>
  <c r="C27" i="7"/>
  <c r="B27" i="7"/>
  <c r="L16" i="7"/>
  <c r="K16" i="7"/>
  <c r="J16" i="7"/>
  <c r="I16" i="7"/>
  <c r="H16" i="7"/>
  <c r="G16" i="7"/>
  <c r="F16" i="7"/>
  <c r="E16" i="7"/>
  <c r="D16" i="7"/>
  <c r="C16" i="7"/>
  <c r="B16" i="7"/>
  <c r="X68" i="12" l="1"/>
  <c r="U33" i="7"/>
  <c r="U37" i="7"/>
  <c r="AA81" i="12"/>
  <c r="AB81" i="12"/>
  <c r="AF81" i="12"/>
  <c r="P63" i="12"/>
  <c r="S63" i="12"/>
  <c r="Q63" i="12"/>
  <c r="AH81" i="12"/>
  <c r="X64" i="12"/>
  <c r="AE81" i="12"/>
  <c r="AA86" i="12"/>
  <c r="AI82" i="12"/>
  <c r="AH84" i="12"/>
  <c r="AG83" i="12"/>
  <c r="AD86" i="12"/>
  <c r="AB80" i="12"/>
  <c r="AG84" i="12"/>
  <c r="AC86" i="12"/>
  <c r="AC80" i="12"/>
  <c r="AC81" i="12"/>
  <c r="AF83" i="12"/>
  <c r="AD79" i="12"/>
  <c r="R57" i="12"/>
  <c r="AC83" i="12"/>
  <c r="AH86" i="12"/>
  <c r="AG80" i="12"/>
  <c r="AF80" i="12"/>
  <c r="AE80" i="12"/>
  <c r="AE86" i="12"/>
  <c r="AA92" i="12"/>
  <c r="AD83" i="12"/>
  <c r="AD80" i="12"/>
  <c r="AA83" i="12"/>
  <c r="AB83" i="12"/>
  <c r="AA80" i="12"/>
  <c r="T57" i="12"/>
  <c r="AH83" i="12"/>
  <c r="P57" i="12"/>
  <c r="AF84" i="12"/>
  <c r="AE84" i="12"/>
  <c r="AB84" i="12"/>
  <c r="AG85" i="12"/>
  <c r="AF85" i="12"/>
  <c r="AD85" i="12"/>
  <c r="AE85" i="12"/>
  <c r="AC85" i="12"/>
  <c r="AE79" i="12"/>
  <c r="AA85" i="12"/>
  <c r="AF79" i="12"/>
  <c r="AA79" i="12"/>
  <c r="V63" i="12"/>
  <c r="T63" i="12"/>
  <c r="AD84" i="12"/>
  <c r="AC79" i="12"/>
  <c r="W63" i="12"/>
  <c r="U63" i="12"/>
  <c r="AC84" i="12"/>
  <c r="AB79" i="12"/>
  <c r="AB85" i="12"/>
  <c r="R63" i="12"/>
  <c r="AH79" i="12"/>
  <c r="AG79" i="12"/>
  <c r="R35" i="7"/>
  <c r="R37" i="7"/>
  <c r="R38" i="7"/>
  <c r="R36" i="7"/>
  <c r="R30" i="7"/>
  <c r="S35" i="7"/>
  <c r="S37" i="7"/>
  <c r="S36" i="7"/>
  <c r="S38" i="7"/>
  <c r="T38" i="7"/>
  <c r="T35" i="7"/>
  <c r="T37" i="7"/>
  <c r="T36" i="7"/>
  <c r="U35" i="7"/>
  <c r="U38" i="7"/>
  <c r="U36" i="7"/>
  <c r="R31" i="7"/>
  <c r="R32" i="7"/>
  <c r="R33" i="7"/>
  <c r="R34" i="7"/>
  <c r="S34" i="7"/>
  <c r="S30" i="7"/>
  <c r="S31" i="7"/>
  <c r="S32" i="7"/>
  <c r="S33" i="7"/>
  <c r="T34" i="7"/>
  <c r="T30" i="7"/>
  <c r="T32" i="7"/>
  <c r="T33" i="7"/>
  <c r="T31" i="7"/>
  <c r="U31" i="7"/>
  <c r="U34" i="7"/>
  <c r="U32" i="7"/>
  <c r="U30" i="7"/>
  <c r="AF66" i="12"/>
  <c r="AB66" i="12"/>
  <c r="AG86" i="12"/>
  <c r="AB86" i="12"/>
  <c r="AE66" i="12"/>
  <c r="AG92" i="12"/>
  <c r="AF92" i="12"/>
  <c r="AE92" i="12"/>
  <c r="AD92" i="12"/>
  <c r="AC92" i="12"/>
  <c r="AB92" i="12"/>
  <c r="AH92" i="12"/>
  <c r="AD66" i="12"/>
  <c r="X65" i="12"/>
  <c r="AG66" i="12"/>
  <c r="AA66" i="12"/>
  <c r="AC66" i="12"/>
  <c r="AH66" i="12"/>
  <c r="X71" i="12"/>
  <c r="X69" i="12"/>
  <c r="X72" i="12"/>
  <c r="X70" i="12"/>
  <c r="X66" i="12"/>
  <c r="X67" i="12"/>
  <c r="AC68" i="12"/>
  <c r="AD68" i="12"/>
  <c r="AE68" i="12"/>
  <c r="AF68" i="12"/>
  <c r="AG68" i="12"/>
  <c r="AH68" i="12"/>
  <c r="AB68" i="12"/>
  <c r="AA68" i="12"/>
  <c r="AB72" i="12"/>
  <c r="AC72" i="12"/>
  <c r="AD72" i="12"/>
  <c r="AE72" i="12"/>
  <c r="AA72" i="12"/>
  <c r="AF72" i="12"/>
  <c r="AH72" i="12"/>
  <c r="AG72" i="12"/>
  <c r="AH96" i="12"/>
  <c r="AA96" i="12"/>
  <c r="AB96" i="12"/>
  <c r="AC96" i="12"/>
  <c r="AD96" i="12"/>
  <c r="AE96" i="12"/>
  <c r="AF96" i="12"/>
  <c r="AG96" i="12"/>
  <c r="AC67" i="12"/>
  <c r="AB67" i="12"/>
  <c r="AD67" i="12"/>
  <c r="AE67" i="12"/>
  <c r="AG67" i="12"/>
  <c r="AF67" i="12"/>
  <c r="AH67" i="12"/>
  <c r="AA67" i="12"/>
  <c r="AB70" i="12"/>
  <c r="AC70" i="12"/>
  <c r="AF70" i="12"/>
  <c r="AD70" i="12"/>
  <c r="AE70" i="12"/>
  <c r="AG70" i="12"/>
  <c r="AH70" i="12"/>
  <c r="AA70" i="12"/>
  <c r="AB99" i="12"/>
  <c r="AC99" i="12"/>
  <c r="AD99" i="12"/>
  <c r="AE99" i="12"/>
  <c r="AF99" i="12"/>
  <c r="AA99" i="12"/>
  <c r="AH99" i="12"/>
  <c r="AG99" i="12"/>
  <c r="AG91" i="12"/>
  <c r="AH91" i="12"/>
  <c r="AB91" i="12"/>
  <c r="AC91" i="12"/>
  <c r="AD91" i="12"/>
  <c r="AE91" i="12"/>
  <c r="AF91" i="12"/>
  <c r="AB78" i="12"/>
  <c r="AC78" i="12"/>
  <c r="AD78" i="12"/>
  <c r="AE78" i="12"/>
  <c r="AF78" i="12"/>
  <c r="AG78" i="12"/>
  <c r="AH78" i="12"/>
  <c r="AF98" i="12"/>
  <c r="AG98" i="12"/>
  <c r="AH98" i="12"/>
  <c r="AA98" i="12"/>
  <c r="AB98" i="12"/>
  <c r="AC98" i="12"/>
  <c r="AD98" i="12"/>
  <c r="AE98" i="12"/>
  <c r="AB97" i="12"/>
  <c r="AF97" i="12"/>
  <c r="AC97" i="12"/>
  <c r="AA97" i="12"/>
  <c r="AD97" i="12"/>
  <c r="AE97" i="12"/>
  <c r="AG97" i="12"/>
  <c r="AH97" i="12"/>
  <c r="AD73" i="12"/>
  <c r="AE73" i="12"/>
  <c r="AA73" i="12"/>
  <c r="AF73" i="12"/>
  <c r="AG73" i="12"/>
  <c r="AH73" i="12"/>
  <c r="AC73" i="12"/>
  <c r="AB73" i="12"/>
  <c r="AC65" i="12"/>
  <c r="AD65" i="12"/>
  <c r="AE65" i="12"/>
  <c r="AG65" i="12"/>
  <c r="AH65" i="12"/>
  <c r="AF65" i="12"/>
  <c r="AF71" i="12"/>
  <c r="AG71" i="12"/>
  <c r="AH71" i="12"/>
  <c r="AA71" i="12"/>
  <c r="AB71" i="12"/>
  <c r="AC71" i="12"/>
  <c r="AE71" i="12"/>
  <c r="AD71" i="12"/>
  <c r="AA94" i="12"/>
  <c r="AB94" i="12"/>
  <c r="AC94" i="12"/>
  <c r="AD94" i="12"/>
  <c r="AE94" i="12"/>
  <c r="AF94" i="12"/>
  <c r="AG94" i="12"/>
  <c r="AH94" i="12"/>
  <c r="AI95" i="12"/>
  <c r="AI69" i="12"/>
  <c r="AE93" i="12"/>
  <c r="AF93" i="12"/>
  <c r="AA93" i="12"/>
  <c r="AG93" i="12"/>
  <c r="AH93" i="12"/>
  <c r="AB93" i="12"/>
  <c r="AC93" i="12"/>
  <c r="AD93" i="12"/>
  <c r="S47" i="12" l="1"/>
  <c r="N96" i="10"/>
  <c r="Q47" i="12"/>
  <c r="U47" i="12"/>
  <c r="E27" i="10"/>
  <c r="E38" i="10" s="1"/>
  <c r="E47" i="10" s="1"/>
  <c r="D27" i="10"/>
  <c r="D38" i="10" s="1"/>
  <c r="D47" i="10" s="1"/>
  <c r="C27" i="10"/>
  <c r="C38" i="10" s="1"/>
  <c r="C47" i="10" s="1"/>
  <c r="AI81" i="12"/>
  <c r="X63" i="12"/>
  <c r="M101" i="10" s="1"/>
  <c r="AB64" i="12"/>
  <c r="AI80" i="12"/>
  <c r="AI83" i="12"/>
  <c r="D26" i="10"/>
  <c r="U48" i="12"/>
  <c r="S54" i="12"/>
  <c r="C22" i="10"/>
  <c r="AG77" i="12"/>
  <c r="R102" i="10"/>
  <c r="AF77" i="12"/>
  <c r="AA77" i="12"/>
  <c r="N97" i="10"/>
  <c r="AI85" i="12"/>
  <c r="AI84" i="12"/>
  <c r="AE77" i="12"/>
  <c r="V98" i="10"/>
  <c r="AI79" i="12"/>
  <c r="V102" i="10"/>
  <c r="V96" i="10"/>
  <c r="R101" i="10"/>
  <c r="N98" i="10"/>
  <c r="N102" i="10"/>
  <c r="R96" i="10"/>
  <c r="AH77" i="12"/>
  <c r="AD77" i="12"/>
  <c r="AC77" i="12"/>
  <c r="N101" i="10"/>
  <c r="R97" i="10"/>
  <c r="R98" i="10"/>
  <c r="V97" i="10"/>
  <c r="V101" i="10"/>
  <c r="AA64" i="12"/>
  <c r="AI86" i="12"/>
  <c r="D16" i="10" s="1"/>
  <c r="AB77" i="12"/>
  <c r="D21" i="10" s="1"/>
  <c r="AI92" i="12"/>
  <c r="AI66" i="12"/>
  <c r="C23" i="10"/>
  <c r="AI65" i="12"/>
  <c r="E26" i="10"/>
  <c r="C26" i="10"/>
  <c r="AC90" i="12"/>
  <c r="AA90" i="12"/>
  <c r="AC64" i="12"/>
  <c r="AF90" i="12"/>
  <c r="AE90" i="12"/>
  <c r="AD90" i="12"/>
  <c r="AB90" i="12"/>
  <c r="E21" i="10" s="1"/>
  <c r="AF64" i="12"/>
  <c r="AH64" i="12"/>
  <c r="AH90" i="12"/>
  <c r="AG90" i="12"/>
  <c r="AG64" i="12"/>
  <c r="AE64" i="12"/>
  <c r="AD64" i="12"/>
  <c r="S48" i="12"/>
  <c r="AI91" i="12"/>
  <c r="S51" i="12"/>
  <c r="S49" i="12"/>
  <c r="S50" i="12"/>
  <c r="S52" i="12"/>
  <c r="S55" i="12"/>
  <c r="AI98" i="12"/>
  <c r="AI99" i="12"/>
  <c r="E16" i="10" s="1"/>
  <c r="AI67" i="12"/>
  <c r="AI68" i="12"/>
  <c r="S53" i="12"/>
  <c r="AI78" i="12"/>
  <c r="U52" i="12"/>
  <c r="AI96" i="12"/>
  <c r="AI97" i="12"/>
  <c r="AI93" i="12"/>
  <c r="AI71" i="12"/>
  <c r="E23" i="10"/>
  <c r="E22" i="10"/>
  <c r="AI70" i="12"/>
  <c r="AI73" i="12"/>
  <c r="C16" i="10" s="1"/>
  <c r="AI94" i="12"/>
  <c r="D23" i="10"/>
  <c r="D22" i="10"/>
  <c r="AI72" i="12"/>
  <c r="Q55" i="12"/>
  <c r="Q52" i="12"/>
  <c r="U53" i="12"/>
  <c r="Q54" i="12"/>
  <c r="U55" i="12"/>
  <c r="Q48" i="12"/>
  <c r="Q49" i="12"/>
  <c r="Q50" i="12"/>
  <c r="Q51" i="12"/>
  <c r="Q53" i="12"/>
  <c r="U49" i="12"/>
  <c r="U50" i="12"/>
  <c r="U51" i="12"/>
  <c r="U54" i="12"/>
  <c r="H15" i="22" l="1"/>
  <c r="C11" i="10"/>
  <c r="D32" i="10"/>
  <c r="D33" i="10"/>
  <c r="D42" i="10" s="1"/>
  <c r="G22" i="10"/>
  <c r="S97" i="10" s="1"/>
  <c r="C33" i="10"/>
  <c r="C42" i="10" s="1"/>
  <c r="D34" i="10"/>
  <c r="D43" i="10" s="1"/>
  <c r="G23" i="10"/>
  <c r="D37" i="10"/>
  <c r="D46" i="10" s="1"/>
  <c r="G26" i="10"/>
  <c r="S101" i="10" s="1"/>
  <c r="G27" i="10"/>
  <c r="S102" i="10" s="1"/>
  <c r="H26" i="10"/>
  <c r="E37" i="10"/>
  <c r="E46" i="10" s="1"/>
  <c r="D15" i="10"/>
  <c r="H27" i="10"/>
  <c r="C37" i="10"/>
  <c r="C46" i="10" s="1"/>
  <c r="E33" i="10"/>
  <c r="E42" i="10" s="1"/>
  <c r="H22" i="10"/>
  <c r="W97" i="10" s="1"/>
  <c r="E34" i="10"/>
  <c r="E43" i="10" s="1"/>
  <c r="H23" i="10"/>
  <c r="W98" i="10" s="1"/>
  <c r="C34" i="10"/>
  <c r="C43" i="10" s="1"/>
  <c r="AI64" i="12"/>
  <c r="C21" i="10"/>
  <c r="D11" i="10"/>
  <c r="Q97" i="10"/>
  <c r="Q102" i="10"/>
  <c r="Q96" i="10"/>
  <c r="U101" i="10"/>
  <c r="U102" i="10"/>
  <c r="U96" i="10"/>
  <c r="Q101" i="10"/>
  <c r="U98" i="10"/>
  <c r="M98" i="10"/>
  <c r="M96" i="10"/>
  <c r="U97" i="10"/>
  <c r="M102" i="10"/>
  <c r="Q98" i="10"/>
  <c r="M97" i="10"/>
  <c r="E32" i="10"/>
  <c r="E41" i="10" s="1"/>
  <c r="E12" i="10"/>
  <c r="E11" i="10"/>
  <c r="C15" i="10"/>
  <c r="E15" i="10"/>
  <c r="H21" i="10"/>
  <c r="W96" i="10" s="1"/>
  <c r="G21" i="10"/>
  <c r="S96" i="10" s="1"/>
  <c r="S57" i="12"/>
  <c r="D12" i="10"/>
  <c r="AI90" i="12"/>
  <c r="C12" i="10"/>
  <c r="AI77" i="12"/>
  <c r="Q57" i="12"/>
  <c r="U57" i="12"/>
  <c r="W101" i="10" l="1"/>
  <c r="Q10" i="22"/>
  <c r="W102" i="10"/>
  <c r="S98" i="10"/>
  <c r="Q9" i="22"/>
  <c r="G32" i="10"/>
  <c r="D41" i="10"/>
  <c r="G41" i="10" s="1"/>
  <c r="T96" i="10" s="1"/>
  <c r="E10" i="10"/>
  <c r="K27" i="10" s="1"/>
  <c r="AJ99" i="12"/>
  <c r="D10" i="10"/>
  <c r="J27" i="10" s="1"/>
  <c r="AJ86" i="12"/>
  <c r="C10" i="10"/>
  <c r="I21" i="10" s="1"/>
  <c r="AJ73" i="12"/>
  <c r="F15" i="22"/>
  <c r="F23" i="10"/>
  <c r="O98" i="10" s="1"/>
  <c r="F27" i="10"/>
  <c r="O102" i="10" s="1"/>
  <c r="C32" i="10"/>
  <c r="C41" i="10" s="1"/>
  <c r="D15" i="22"/>
  <c r="F21" i="10"/>
  <c r="O96" i="10" s="1"/>
  <c r="F26" i="10"/>
  <c r="O101" i="10" s="1"/>
  <c r="F22" i="10"/>
  <c r="O97" i="10" s="1"/>
  <c r="H33" i="10"/>
  <c r="H37" i="10"/>
  <c r="G38" i="10"/>
  <c r="G37" i="10"/>
  <c r="H47" i="10"/>
  <c r="H34" i="10"/>
  <c r="G33" i="10"/>
  <c r="G34" i="10"/>
  <c r="H38" i="10"/>
  <c r="I15" i="22"/>
  <c r="H41" i="10"/>
  <c r="H46" i="10"/>
  <c r="R10" i="22" s="1"/>
  <c r="H32" i="10"/>
  <c r="I27" i="10" l="1"/>
  <c r="O11" i="22" s="1"/>
  <c r="I22" i="10"/>
  <c r="F16" i="10"/>
  <c r="Q11" i="22"/>
  <c r="K21" i="10"/>
  <c r="G12" i="10"/>
  <c r="H11" i="10"/>
  <c r="H12" i="10"/>
  <c r="K23" i="10"/>
  <c r="K26" i="10"/>
  <c r="J26" i="10"/>
  <c r="O10" i="22" s="1"/>
  <c r="H16" i="10"/>
  <c r="H15" i="10"/>
  <c r="H10" i="10"/>
  <c r="K22" i="10"/>
  <c r="J21" i="10"/>
  <c r="F10" i="10"/>
  <c r="F15" i="10"/>
  <c r="J23" i="10"/>
  <c r="O9" i="22" s="1"/>
  <c r="F11" i="10"/>
  <c r="J22" i="10"/>
  <c r="G16" i="10"/>
  <c r="F12" i="10"/>
  <c r="G15" i="10"/>
  <c r="G10" i="10"/>
  <c r="G11" i="10"/>
  <c r="I26" i="10"/>
  <c r="I23" i="10"/>
  <c r="H13" i="22"/>
  <c r="I13" i="22" s="1"/>
  <c r="D13" i="22"/>
  <c r="D11" i="22"/>
  <c r="F34" i="10"/>
  <c r="G43" i="10"/>
  <c r="T98" i="10" s="1"/>
  <c r="G47" i="10"/>
  <c r="T102" i="10" s="1"/>
  <c r="G46" i="10"/>
  <c r="F33" i="10"/>
  <c r="H43" i="10"/>
  <c r="F37" i="10"/>
  <c r="H10" i="22"/>
  <c r="I10" i="22" s="1"/>
  <c r="H42" i="10"/>
  <c r="X97" i="10" s="1"/>
  <c r="G15" i="22"/>
  <c r="D10" i="22"/>
  <c r="F10" i="22"/>
  <c r="G10" i="22" s="1"/>
  <c r="G42" i="10"/>
  <c r="T97" i="10" s="1"/>
  <c r="F32" i="10"/>
  <c r="F46" i="10"/>
  <c r="F38" i="10"/>
  <c r="X102" i="10"/>
  <c r="X96" i="10"/>
  <c r="X98" i="10" l="1"/>
  <c r="P9" i="22"/>
  <c r="P11" i="22"/>
  <c r="P10" i="22"/>
  <c r="E11" i="22"/>
  <c r="E10" i="22"/>
  <c r="F42" i="10"/>
  <c r="P97" i="10" s="1"/>
  <c r="E13" i="22"/>
  <c r="G13" i="22"/>
  <c r="F43" i="10"/>
  <c r="P98" i="10" s="1"/>
  <c r="F47" i="10"/>
  <c r="F41" i="10"/>
  <c r="P96" i="10" s="1"/>
  <c r="E15" i="22"/>
  <c r="P101" i="10"/>
  <c r="T101" i="10"/>
  <c r="X101" i="10"/>
  <c r="R9" i="22" l="1"/>
  <c r="P102" i="10"/>
  <c r="R11" i="22"/>
  <c r="L32" i="19"/>
  <c r="N32" i="19"/>
  <c r="H14" i="22" s="1"/>
  <c r="M32" i="19"/>
  <c r="D14" i="22" l="1"/>
  <c r="F14" i="22"/>
  <c r="G14" i="22" s="1"/>
  <c r="G16" i="22" s="1"/>
  <c r="H16" i="22"/>
  <c r="I14" i="22"/>
  <c r="I16" i="22" s="1"/>
  <c r="F16" i="22" l="1"/>
  <c r="E14" i="22"/>
  <c r="E16" i="22" s="1"/>
  <c r="D1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Seán Fortune</author>
  </authors>
  <commentList>
    <comment ref="S9" authorId="0" shapeId="0" xr:uid="{89874155-4919-4FA3-9026-EC95B224BBB9}">
      <text>
        <r>
          <rPr>
            <sz val="9"/>
            <color indexed="81"/>
            <rFont val="Tahoma"/>
            <family val="2"/>
          </rPr>
          <t>The figures in this column are obtained from Table 1 to the left in this sheet; select 10% in each of cells C12, C13 and C14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tc={94BD1D7A-57D5-476E-90B5-BF09399CC9A1}</author>
  </authors>
  <commentList>
    <comment ref="O57" authorId="0" shapeId="0" xr:uid="{94BD1D7A-57D5-476E-90B5-BF09399CC9A1}">
      <text>
        <t>[Threaded comment]
Your version of Excel allows you to read this threaded comment; however, any edits to it will get removed if the file is opened in a newer version of Excel. Learn more: https://go.microsoft.com/fwlink/?linkid=870924
Comment:
    @Seán Fortune So this is 3.6 billion journeys across Scotland per year. But G18 is 9.8 million journeys. 
Reply:
    @Isabel Winney nice catch, thanks. I've updated G18- it should have read "daily journeys across Scotland"- i.e., equals to O34</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Rebekah Watson</author>
    <author/>
  </authors>
  <commentList>
    <comment ref="B35" authorId="0" shapeId="0" xr:uid="{22E798CE-E4AF-49EF-A74C-B28B7889E20E}">
      <text>
        <r>
          <rPr>
            <sz val="8"/>
            <color indexed="81"/>
            <rFont val="Tahoma"/>
            <family val="2"/>
          </rPr>
          <t>This is the smallest category of car sometimes referred to as a city car. Examples include: Citroën C1, Fiat/Alfa Romeo 500 and Panda, Peugeot 107, Volkswagen up!, Renault TWINGO, Toyota AYGO, smart fortwo and Hyundai i 10.</t>
        </r>
      </text>
    </comment>
    <comment ref="B37" authorId="0" shapeId="0" xr:uid="{20096ABD-5356-415B-ADCC-933198E0EB72}">
      <text>
        <r>
          <rPr>
            <sz val="8"/>
            <color indexed="81"/>
            <rFont val="Tahoma"/>
            <family val="2"/>
          </rPr>
          <t>This is a car that is larger than a city car, but smaller than a small family car. Examples include: Ford Fiesta, Renault CLIO, Volkswagen Polo, Citroën C2 and C3, Opel Corsa, Peugeot 208, and Toyota Yaris.</t>
        </r>
        <r>
          <rPr>
            <sz val="9"/>
            <color indexed="81"/>
            <rFont val="Tahoma"/>
            <family val="2"/>
          </rPr>
          <t xml:space="preserve">
</t>
        </r>
      </text>
    </comment>
    <comment ref="B39" authorId="0" shapeId="0" xr:uid="{F9C37C9C-006A-4363-8F40-89F561A7E01B}">
      <text>
        <r>
          <rPr>
            <sz val="8"/>
            <color indexed="81"/>
            <rFont val="Tahoma"/>
            <family val="2"/>
          </rPr>
          <t>This is a small, compact family car. Examples include: Volkswagen Golf, Ford Focus, Opel Astra, Audi A3, BMW 1 Series, Renault Mégane and Toyota Auris.</t>
        </r>
        <r>
          <rPr>
            <sz val="9"/>
            <color indexed="81"/>
            <rFont val="Tahoma"/>
            <family val="2"/>
          </rPr>
          <t xml:space="preserve">
</t>
        </r>
      </text>
    </comment>
    <comment ref="B41" authorId="0" shapeId="0" xr:uid="{91118ED9-7314-4CE4-A0EA-7CEAE8F3AB78}">
      <text>
        <r>
          <rPr>
            <sz val="8"/>
            <color indexed="81"/>
            <rFont val="Tahoma"/>
            <family val="2"/>
          </rPr>
          <t>This is classed as a large family car. Examples include: BMW 3 Series, ŠKODA Octavia, Volkswagen Passat, Audi A4, Mercedes Benz C Class and Peugeot 508.</t>
        </r>
      </text>
    </comment>
    <comment ref="B43" authorId="0" shapeId="0" xr:uid="{CCCE1300-2309-4400-9658-0DC717F27CD0}">
      <text>
        <r>
          <rPr>
            <sz val="8"/>
            <color indexed="81"/>
            <rFont val="Tahoma"/>
            <family val="2"/>
          </rPr>
          <t>These are large cars. Examples include: BMW 5 Series, Audi A5 and A6, Mercedes Benz E Class and Skoda Superb.</t>
        </r>
      </text>
    </comment>
    <comment ref="B45" authorId="0" shapeId="0" xr:uid="{BBA61E57-6CFE-4DDA-A6FB-0D3D808677B5}">
      <text>
        <r>
          <rPr>
            <sz val="8"/>
            <color indexed="81"/>
            <rFont val="Tahoma"/>
            <family val="2"/>
          </rPr>
          <t>This is a luxury car which is niche in the European market. Examples include: Jaguar XF, Mercedes-Benz S-Class, .BMW 7 series, Audi A8, Porsche Panamera and Lexus LS.</t>
        </r>
      </text>
    </comment>
    <comment ref="B47" authorId="0" shapeId="0" xr:uid="{7CFA5144-44F9-4065-854F-86BFC0850896}">
      <text>
        <r>
          <rPr>
            <sz val="8"/>
            <color indexed="81"/>
            <rFont val="Tahoma"/>
            <family val="2"/>
          </rPr>
          <t xml:space="preserve">Sport cars are a small, usually two seater with two doors and designed for speed, high acceleration, and manoeuvrability. Examples include: Mercedes-Benz SLK, Audi TT, Porsche 911 and Boxster, and Peugeot RCZ. </t>
        </r>
      </text>
    </comment>
    <comment ref="B49" authorId="0" shapeId="0" xr:uid="{903FABB6-72F6-4F7B-9ECE-B9B86A3901ED}">
      <text>
        <r>
          <rPr>
            <sz val="8"/>
            <color indexed="81"/>
            <rFont val="Tahoma"/>
            <family val="2"/>
          </rPr>
          <t>These are sport utility vehicles (SUVs) which have off-road capabilities and four-wheel drive. Examples include: Suzuki Jimny, Land Rover Discovery and Defender, Toyota Land Cruiser, and Nissan Pathfinder.</t>
        </r>
      </text>
    </comment>
    <comment ref="B51" authorId="0" shapeId="0" xr:uid="{9357CE28-DAC8-4FD9-958B-F8C8F62AB21A}">
      <text>
        <r>
          <rPr>
            <sz val="8"/>
            <color indexed="81"/>
            <rFont val="Tahoma"/>
            <family val="2"/>
          </rPr>
          <t xml:space="preserve">These are multipurpose cars. Examples include: Ford C-Max, Renault Scenic, Volkswagen Touran, Opel Zafira, Ford B-Max, and Citroën C3 Picasso and C4 Picasso. </t>
        </r>
      </text>
    </comment>
    <comment ref="L55" authorId="1" shapeId="0" xr:uid="{45174E65-C9EB-48E9-A480-73D98B496AA4}">
      <text>
        <r>
          <rPr>
            <b/>
            <sz val="8"/>
            <rFont val="Tahoma"/>
            <family val="2"/>
          </rPr>
          <t>A vehicle with two power sources, typically petrol and electric</t>
        </r>
      </text>
    </comment>
    <comment ref="P55" authorId="1" shapeId="0" xr:uid="{E237C217-271F-496C-8A5E-EE4AB66C88D7}">
      <text>
        <r>
          <rPr>
            <b/>
            <sz val="8"/>
            <rFont val="Tahoma"/>
            <family val="2"/>
          </rPr>
          <t>A compressed version of the same natural gas you receive in the home.  When compressed can be used as an alternative vehicle fuel.</t>
        </r>
      </text>
    </comment>
    <comment ref="T55" authorId="1" shapeId="0" xr:uid="{8AE488CD-3577-41CA-BFD7-731AFDA27CBB}">
      <text>
        <r>
          <rPr>
            <b/>
            <sz val="8"/>
            <rFont val="Tahoma"/>
            <family val="2"/>
          </rPr>
          <t>Alternative fuel stored in gas tanks.  Often known as 'autogas'.</t>
        </r>
      </text>
    </comment>
    <comment ref="B57" authorId="1" shapeId="0" xr:uid="{1D032EFA-2E5C-4DA2-A5A2-11024561AB9B}">
      <text>
        <r>
          <rPr>
            <b/>
            <sz val="8"/>
            <rFont val="Tahoma"/>
            <family val="2"/>
          </rPr>
          <t>Petrol/LPG/CNG - up to a 1.4-litre engine
Diesel - up to a 1.7-litre engine
Others - vehicles models of a similar size (i.e. market segment A or B)</t>
        </r>
      </text>
    </comment>
    <comment ref="B59" authorId="1" shapeId="0" xr:uid="{71242BB2-DE60-44C6-8254-12A80D1D29D3}">
      <text>
        <r>
          <rPr>
            <b/>
            <sz val="8"/>
            <rFont val="Tahoma"/>
            <family val="2"/>
          </rPr>
          <t>Petrol/LPG/CNG - from 1.4-litre to 2.0-litre engine
Diesel - from 1.7-litre to 2.0-litre engine
Others - vehicles models of a similar size (i.e. generally market segment C)</t>
        </r>
      </text>
    </comment>
    <comment ref="B61" authorId="1" shapeId="0" xr:uid="{1196924A-293C-46E7-B41A-0B169243C32E}">
      <text>
        <r>
          <rPr>
            <b/>
            <sz val="8"/>
            <rFont val="Tahoma"/>
            <family val="2"/>
          </rPr>
          <t>Petrol/LPG/CNG - 2.0-litre engine +
Diesel - 2.0-litre engine +
Others - vehicles models of a similar size (i.e. generally market segment D and above)</t>
        </r>
      </text>
    </comment>
    <comment ref="B63" authorId="1" shapeId="0" xr:uid="{4CBE8D5D-B6B3-41FD-BA99-95B48FBC9511}">
      <text>
        <r>
          <rPr>
            <b/>
            <sz val="8"/>
            <rFont val="Tahoma"/>
            <family val="2"/>
          </rPr>
          <t>Unknown engine size.</t>
        </r>
      </text>
    </comment>
    <comment ref="B69" authorId="1" shapeId="0" xr:uid="{7A5C83D7-2C55-44AA-A50A-47E4FEA3C767}">
      <text>
        <r>
          <rPr>
            <b/>
            <sz val="8"/>
            <rFont val="Tahoma"/>
            <family val="2"/>
          </rPr>
          <t>Mopeds/scooters up to 125cc.</t>
        </r>
      </text>
    </comment>
    <comment ref="B71" authorId="1" shapeId="0" xr:uid="{EA1E01B3-DDA6-4B27-9BEA-54940645A0B5}">
      <text>
        <r>
          <rPr>
            <b/>
            <sz val="8"/>
            <rFont val="Tahoma"/>
            <family val="2"/>
          </rPr>
          <t>125cc to 500cc</t>
        </r>
      </text>
    </comment>
    <comment ref="B73" authorId="1" shapeId="0" xr:uid="{7A09D001-12FB-427E-B2C6-85765CF3A365}">
      <text>
        <r>
          <rPr>
            <b/>
            <sz val="8"/>
            <rFont val="Tahoma"/>
            <family val="2"/>
          </rPr>
          <t>500cc +</t>
        </r>
      </text>
    </comment>
    <comment ref="B75" authorId="1" shapeId="0" xr:uid="{99965E13-A071-49BC-AD9B-4D1FB997E2B9}">
      <text>
        <r>
          <rPr>
            <b/>
            <sz val="8"/>
            <rFont val="Tahoma"/>
            <family val="2"/>
          </rPr>
          <t>Unknown engine size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Seán Fortune</author>
  </authors>
  <commentList>
    <comment ref="L13" authorId="0" shapeId="0" xr:uid="{E53C6DF0-B7D5-4479-BE97-68A469284DF8}">
      <text>
        <r>
          <rPr>
            <sz val="9"/>
            <color indexed="81"/>
            <rFont val="Tahoma"/>
            <family val="2"/>
          </rPr>
          <t xml:space="preserve">See notes in Cell R5 for where the 273 value has come from
</t>
        </r>
      </text>
    </comment>
  </commentList>
</comments>
</file>

<file path=xl/sharedStrings.xml><?xml version="1.0" encoding="utf-8"?>
<sst xmlns="http://schemas.openxmlformats.org/spreadsheetml/2006/main" count="1459" uniqueCount="597">
  <si>
    <t>Mode shift distances</t>
  </si>
  <si>
    <t>Percentage of trips switched</t>
  </si>
  <si>
    <t>Low journey distances</t>
  </si>
  <si>
    <t xml:space="preserve">Medium journey distances </t>
  </si>
  <si>
    <t>High journey distances</t>
  </si>
  <si>
    <t>Percentage of car journeys under 2km switched to AT:</t>
  </si>
  <si>
    <t>Percentage of car journeys under 5km switched to AT:</t>
  </si>
  <si>
    <t>Percentage of car journeys 5km-40km switched to AT + bus/train:</t>
  </si>
  <si>
    <t>Percentage of car journeys over 40km switched to AT + bus/train:</t>
  </si>
  <si>
    <t xml:space="preserve"> </t>
  </si>
  <si>
    <t>Total potential Carbon emission savings (as a % of total car emissions)</t>
  </si>
  <si>
    <t>Table i: Total journey distance travelled across all modes, by journey distance category</t>
  </si>
  <si>
    <t>Km travelled</t>
  </si>
  <si>
    <t>Km travelled as a percentage of total Journey km</t>
  </si>
  <si>
    <t>Low</t>
  </si>
  <si>
    <t>Medium</t>
  </si>
  <si>
    <t>High</t>
  </si>
  <si>
    <t>Total Journey distance in Scotland 2021 (all modes- km)</t>
  </si>
  <si>
    <t>Total journey km under 2km (All modes)</t>
  </si>
  <si>
    <t>Total journey km under 5km (All modes)</t>
  </si>
  <si>
    <t>Journey miles under 2 miles (All modes)</t>
  </si>
  <si>
    <t>Journey miles under 5 miles (All modes)</t>
  </si>
  <si>
    <t>Journeys between 5km and 40km (All modes)</t>
  </si>
  <si>
    <t>Long distance Journey Miles (40km+, all modes)</t>
  </si>
  <si>
    <t>Table ii: Total journey distance travelled as a car/van driver, by journey distance category</t>
  </si>
  <si>
    <t>As a percentage of total car km</t>
  </si>
  <si>
    <t>As a percentage of total journey km</t>
  </si>
  <si>
    <t>Total Journey distance in Scotland 2021 (by cars or vans as a driver- km)</t>
  </si>
  <si>
    <t>Total journey km under 2km (by cars or vans as a driver- km)</t>
  </si>
  <si>
    <t>Total journey km under 5km (by cars or vans as a driver- km)</t>
  </si>
  <si>
    <t>Journey miles under 2 miles (by cars or vans as a driver- km)</t>
  </si>
  <si>
    <t>Journey miles under 5 miles (by cars or vans as a driver- km)</t>
  </si>
  <si>
    <t>Journeys between 5km and 40km (by cars or vans as a driver- km)</t>
  </si>
  <si>
    <t>Long distance Journey Miles (journeys over 40km by cars or vans as a driver)</t>
  </si>
  <si>
    <t>Table iii: Co2e emissions</t>
  </si>
  <si>
    <t>As a percentage of total car tailpipe emissions</t>
  </si>
  <si>
    <t>For all car journeys, all km</t>
  </si>
  <si>
    <t>For all car journeys under 2km</t>
  </si>
  <si>
    <t>For all car journeys under 5km</t>
  </si>
  <si>
    <t>% of all trips taken by any mode</t>
  </si>
  <si>
    <t>% of all car trips</t>
  </si>
  <si>
    <t>% car km travelled</t>
  </si>
  <si>
    <t>% C02e emissions</t>
  </si>
  <si>
    <t>% of car trips taken</t>
  </si>
  <si>
    <t>% car  km travelled</t>
  </si>
  <si>
    <t>Tab</t>
  </si>
  <si>
    <t>Heading/table</t>
  </si>
  <si>
    <t>Cell</t>
  </si>
  <si>
    <t>Plain English Summary</t>
  </si>
  <si>
    <t>Other Notes</t>
  </si>
  <si>
    <t>1. Total Journey distance was calculated by first multiplying the number of people in Scotland by the number of trips made on a daily basis to get the total number of trips made each day (Cell H18, Tatis Tables 2021 tab). 
2.The total number of trips were then multiplied by the percentage of trips taken at each specific journey distance- e.g., 15.4% of journeys in 2021 were 1-2km long; 15.4% of the total number of daily trips gives the number of daily trips that are 1-2km long (N44-57, Tatis Tables 2021 tab).
3. Multiplying this by 365 gives the total number of journeys that are 1-2km each year in Scotland (O44-57, Tatis Tables 2021 tab).
4. 3 different points are taken for each distance category; a low point at the bottom end of the group (1km in this example)*, a mid point (e.g. 1.5km), and a high point at the upper end of the category (e.g. 1.9km) to give estimates of the total journey distance covered for each category (P44-U57, Tatis Tables 2021 tab).
5. These figures were then grouped into the categories shown in this table</t>
  </si>
  <si>
    <t>1. The total number of trips for all modes was multiplied by the mode share percentage for each mode of transport  to give the total number of yearly trips for each transport mode (Table P1, N64-W76, Tatis Tables (2021) tab).
2. These trips are multiplied by each of the low/mid/high distance points to give total km travelled by each mode of transprt per year (Table P2a, P2b, P2c, Y63-AH102, Tatis Tables (2021) tab).
3. These km are grouped together into the categories seen in this table for km travelled as the driver of a car/van.</t>
  </si>
  <si>
    <t>For the makeup of cars in the Scottish fleet, electric cars (which made up 0.4% of cars on Scottish roads in 2019) were not incorporated into calculations as they have no tailpipe emissions. However, they do have a lifecycle carbon cost, which is beyond the scope of this report currently.</t>
  </si>
  <si>
    <t>Main Dashboard</t>
  </si>
  <si>
    <t>This dropdown allows you to select what percentage of trips have been switched to either (A) active travel (for journeys under 5km) or (B) a combination of active travel and public transport (for journeys of 5-40km and journeys over 40km).</t>
  </si>
  <si>
    <t>Percentage of car journeys under 2km &amp; under 5km switched to AT:</t>
  </si>
  <si>
    <t>Percentage of car journeys 5-40km &amp; 40km+ switched to AT:</t>
  </si>
  <si>
    <t>Table title:</t>
  </si>
  <si>
    <t>Various tables, noted above each one with source table number</t>
  </si>
  <si>
    <t>Source:</t>
  </si>
  <si>
    <t>Current Source Year:</t>
  </si>
  <si>
    <t>2021 (report released 25/4/23)</t>
  </si>
  <si>
    <t>Other details:</t>
  </si>
  <si>
    <t>Table TD1a: Average number of journeys made during one a day (including those who did not travel), 2012 to 2021 [Note 1]</t>
  </si>
  <si>
    <t>This worksheet contains one table. Some cells may refer to notes which can be found on the notes worksheet.</t>
  </si>
  <si>
    <t>2021</t>
  </si>
  <si>
    <t>Source: Scottish Household Survey</t>
  </si>
  <si>
    <t>Statistic</t>
  </si>
  <si>
    <t>2012</t>
  </si>
  <si>
    <t>2013</t>
  </si>
  <si>
    <t>2014</t>
  </si>
  <si>
    <t>2015</t>
  </si>
  <si>
    <t>2016</t>
  </si>
  <si>
    <t>2017</t>
  </si>
  <si>
    <t>2018</t>
  </si>
  <si>
    <t>2019</t>
  </si>
  <si>
    <t>2020</t>
  </si>
  <si>
    <t>Median</t>
  </si>
  <si>
    <t>Mean</t>
  </si>
  <si>
    <t>Sample size</t>
  </si>
  <si>
    <t>Table TD2a: Percentage of journeys by main mode by road network distance, 2019</t>
  </si>
  <si>
    <t>Distance</t>
  </si>
  <si>
    <t>Walking</t>
  </si>
  <si>
    <t>Driver car or van</t>
  </si>
  <si>
    <t>Passenger car or van</t>
  </si>
  <si>
    <t>Bicycle</t>
  </si>
  <si>
    <t>Bus</t>
  </si>
  <si>
    <t>Taxi or minicab</t>
  </si>
  <si>
    <t>Rail</t>
  </si>
  <si>
    <t>Other</t>
  </si>
  <si>
    <t>All distances</t>
  </si>
  <si>
    <t>Under 1 km</t>
  </si>
  <si>
    <t>1 to under 2km</t>
  </si>
  <si>
    <t>2 to under 3km</t>
  </si>
  <si>
    <t>3 to under 5km</t>
  </si>
  <si>
    <t>5 to under 10km</t>
  </si>
  <si>
    <t>10 to under 15km</t>
  </si>
  <si>
    <t>15 to 20km</t>
  </si>
  <si>
    <t>20 to 40km</t>
  </si>
  <si>
    <t>40km and over</t>
  </si>
  <si>
    <t>Taken from Table TD4c-&gt;</t>
  </si>
  <si>
    <t>Under 2 miles</t>
  </si>
  <si>
    <t>Taken from Table TD4d-&gt;</t>
  </si>
  <si>
    <t>Under 5 miles</t>
  </si>
  <si>
    <t>Table TD4: Percentage of journeys made by road distance distance travelled, 2012-2021 [Note 1]</t>
  </si>
  <si>
    <t>Total Journeys per day Across Scotland</t>
  </si>
  <si>
    <t>Total Journeys per year Across Scotland</t>
  </si>
  <si>
    <t xml:space="preserve"> km per journey distance category as a % of total km</t>
  </si>
  <si>
    <t>-</t>
  </si>
  <si>
    <t>Total</t>
  </si>
  <si>
    <t>Table TD4c: Percentage of journeys under 2 miles by road network distance by main mode of travel, 2012-2021 [Note 1] [Note 29]</t>
  </si>
  <si>
    <t>Survey Year</t>
  </si>
  <si>
    <t xml:space="preserve">Main Mode Walking </t>
  </si>
  <si>
    <t xml:space="preserve">Main Mode Driver car or van  </t>
  </si>
  <si>
    <t xml:space="preserve">Main Mode Passenger car or van   </t>
  </si>
  <si>
    <t xml:space="preserve">Main Mode Bicycle   </t>
  </si>
  <si>
    <t xml:space="preserve">Main Mode Bus    </t>
  </si>
  <si>
    <t xml:space="preserve">Main Mode Taxi or minicab      </t>
  </si>
  <si>
    <t xml:space="preserve">Main Mode Rail       </t>
  </si>
  <si>
    <t xml:space="preserve">Main Mode Other        </t>
  </si>
  <si>
    <t>Total kilometres travelled per year at each distance by main mode of transport (3 tables; Low, medium &amp; High)</t>
  </si>
  <si>
    <t>Table P1: Total number of journeys per year at each distance by main mode of transport</t>
  </si>
  <si>
    <t>Table P2a: Low</t>
  </si>
  <si>
    <t>All modes</t>
  </si>
  <si>
    <t>Table TD4d: Percentage of journeys under 5 miles by road network distance by main mode of travel, 2012-2021 [Note 1] [Note 29]</t>
  </si>
  <si>
    <t>Table P2b: Medium</t>
  </si>
  <si>
    <t>Table P2c: High</t>
  </si>
  <si>
    <t>Table TD5a: Journey distance (km) summary statistics by main mode of transport, 2021 [Note 14]</t>
  </si>
  <si>
    <t>Lower Decile</t>
  </si>
  <si>
    <t>Lower Quartile</t>
  </si>
  <si>
    <t>Upper Quartile</t>
  </si>
  <si>
    <t>Upper Decile</t>
  </si>
  <si>
    <t>UK Carbon Dioxide equivalent emissions 2022</t>
  </si>
  <si>
    <t>Scottish Transport Statistics 2022</t>
  </si>
  <si>
    <t>Table 13.5 from dataset: View Chapter 13 Environment Reference Tables Scottish Transport Statistics 2022</t>
  </si>
  <si>
    <t>Journeys over 40km</t>
  </si>
  <si>
    <t>20-40km journeys</t>
  </si>
  <si>
    <t>15-20km journeys</t>
  </si>
  <si>
    <t>10-15km journeys</t>
  </si>
  <si>
    <t>5-10km journeys</t>
  </si>
  <si>
    <t>Bus &amp; train journeys as a % of overall transport mode share</t>
  </si>
  <si>
    <t>% of journeys by bus:</t>
  </si>
  <si>
    <t>% of journeys by train:</t>
  </si>
  <si>
    <t>Mode of Transport</t>
  </si>
  <si>
    <t>Table ii: Co2e emissions from public transport for trips over 40km</t>
  </si>
  <si>
    <t>Petrol motorbike</t>
  </si>
  <si>
    <t xml:space="preserve">Low </t>
  </si>
  <si>
    <t>Long distance trip distance (km)</t>
  </si>
  <si>
    <t xml:space="preserve">Bus </t>
  </si>
  <si>
    <t>Active travel distance (km)</t>
  </si>
  <si>
    <t>Coach</t>
  </si>
  <si>
    <t>Distance by public transport</t>
  </si>
  <si>
    <t>National rail</t>
  </si>
  <si>
    <t>kgCo2e emitted per average trip</t>
  </si>
  <si>
    <t>Light rail and tram</t>
  </si>
  <si>
    <t>Ferry</t>
  </si>
  <si>
    <t>Table iii: Co2e emissions from public transport for trips 20km- 40km</t>
  </si>
  <si>
    <t>Trip distance (km)</t>
  </si>
  <si>
    <t>Table iv: Co2e emissions from public transport for trips 15-20km</t>
  </si>
  <si>
    <t>Table v: Co2e emissions from public transport for trips 10-15km</t>
  </si>
  <si>
    <t>Table vi: Co2e emissions from public transport for trips 5-10km</t>
  </si>
  <si>
    <t>Conversion factors for passenger vehicles 2023</t>
  </si>
  <si>
    <t>Greenhouse gas reporting: conversion factors 2023</t>
  </si>
  <si>
    <t>Taken from the dataset "Conversion factors 2023: condensed set (for most users) - updated 28 June 2023". Tab: Passenger Vehicles</t>
  </si>
  <si>
    <t>UK Government GHG Conversion Factors for Company Reporting</t>
  </si>
  <si>
    <t>Passenger vehicles</t>
  </si>
  <si>
    <t>Index</t>
  </si>
  <si>
    <t>Emissions source:</t>
  </si>
  <si>
    <t xml:space="preserve">Next publication date: </t>
  </si>
  <si>
    <t>Factor set:</t>
  </si>
  <si>
    <t>Condensed set</t>
  </si>
  <si>
    <t>Scope:</t>
  </si>
  <si>
    <t>Scope 1</t>
  </si>
  <si>
    <t>Version:</t>
  </si>
  <si>
    <t>Year:</t>
  </si>
  <si>
    <t>Passenger vehicles conversion factors should be used to report travel in cars and on motorcycles that are owned or controlled by the reporting organisation. This does not include employee-owned vehicles that are used for business purposes.</t>
  </si>
  <si>
    <t>Guidance</t>
  </si>
  <si>
    <t>●  The market segment conversion factors related to the vehicle market segments specifically defined by the UK Society of Motor Manufacturers and Traders (SMMT).</t>
  </si>
  <si>
    <t>● For vehicles using electricity (i.e. Plug-in Hybrid Electric Vehicles / Range-Extended Electric Vehicles and Battery Electric Vehicles) the emission factors presented here only include the conventional fuel use (i.e. petrol or diesel), where relevant, and you should IN ADDITION use the emission factors provided in the 'UK electricity for EVs' and 'UK electricity T&amp;D for EVs' tables to calculate the emissions due to the average electricity consumption. A more detailed methodology for calculating emissions from vehicles using electricity can be found in the FAQs at the bottom of this tab.</t>
  </si>
  <si>
    <t>● All of the factors presented for motorbikes are for petrol</t>
  </si>
  <si>
    <t xml:space="preserve">● Please see the FAQs at the bottom of this page for further information on the conversion factors for passenger vehicles. </t>
  </si>
  <si>
    <t xml:space="preserve">Example of calculating emissions from passenger vehicles
</t>
  </si>
  <si>
    <t>Company E reports the emissions from the mileage travelled in its company cars, a Scope 1 emission.</t>
  </si>
  <si>
    <t>The activity data (km) is multiplied by the appropriate conversion factors to produce company E's passenger vehicle emissions.</t>
  </si>
  <si>
    <t>Diesel</t>
  </si>
  <si>
    <t>Petrol</t>
  </si>
  <si>
    <t>Unknown</t>
  </si>
  <si>
    <t>Plug-in Hybrid Electric Vehicle</t>
  </si>
  <si>
    <t>Battery Electric Vehicle</t>
  </si>
  <si>
    <t>Activity</t>
  </si>
  <si>
    <t>Type</t>
  </si>
  <si>
    <t>Unit</t>
  </si>
  <si>
    <t>Cars (by market segment)</t>
  </si>
  <si>
    <t>Mini</t>
  </si>
  <si>
    <t>km</t>
  </si>
  <si>
    <t>miles</t>
  </si>
  <si>
    <t>Supermini</t>
  </si>
  <si>
    <t>Lower medium</t>
  </si>
  <si>
    <t>Upper medium</t>
  </si>
  <si>
    <t>Executive</t>
  </si>
  <si>
    <t>Luxury</t>
  </si>
  <si>
    <t>Sports</t>
  </si>
  <si>
    <t>Dual purpose 4X4</t>
  </si>
  <si>
    <t>MPV</t>
  </si>
  <si>
    <t>Hybrid</t>
  </si>
  <si>
    <t>CNG</t>
  </si>
  <si>
    <t>LPG</t>
  </si>
  <si>
    <t>Cars (by size)</t>
  </si>
  <si>
    <t>Small car</t>
  </si>
  <si>
    <t>Medium car</t>
  </si>
  <si>
    <t>Large car</t>
  </si>
  <si>
    <t>Average car</t>
  </si>
  <si>
    <t>Motorbike</t>
  </si>
  <si>
    <t>Small</t>
  </si>
  <si>
    <t>Large</t>
  </si>
  <si>
    <t>Average</t>
  </si>
  <si>
    <t>FAQs</t>
  </si>
  <si>
    <t>Do the conversion factors take into account the age of vehicles?</t>
  </si>
  <si>
    <t>The conversion factors are based on information from the Department for Transport which regularly analyses the mix of cars on the road in the UK through Driver and Vehicle Licensing Agency (DVLA) records and automatic number plate recognition (ANPR) data. The conversion factors are updated each year to reflect changes in the spectrum of cars of different types and ages being driven.</t>
  </si>
  <si>
    <t>I know the average fuel consumption of my passenger vehicles in miles per gallon (mpg) and mileage; can this be used to improve my calculations?</t>
  </si>
  <si>
    <t>The mpg of the vehicle should be used to convert the distance travelled into litres of fuel used (refer to the 'Conversions' tab to find values to assist this calculation). The conversion factor for litres of fuel can then be applied. This will give a more accurate view of the actual emissions from the vehicle (the conversion factors for vehicle mileage represent the average mpg of the whole UK vehicle population). Therefore, knowing your vehicle’s actual mpg and using this value will yield more precise results.</t>
  </si>
  <si>
    <t>Which tables do I need to use to capture all the emissions resulting from the use of my plug-in electric vehicles (PHEVs)?</t>
  </si>
  <si>
    <t>Method 1: Energy consumption</t>
  </si>
  <si>
    <t>Scope</t>
  </si>
  <si>
    <t>Car</t>
  </si>
  <si>
    <t>Van</t>
  </si>
  <si>
    <t>Includes</t>
  </si>
  <si>
    <t>Fuels</t>
  </si>
  <si>
    <t>YES</t>
  </si>
  <si>
    <t>NO</t>
  </si>
  <si>
    <t>Scope 1 emissions from use of petrol or diesel.</t>
  </si>
  <si>
    <t>WTT- fuels</t>
  </si>
  <si>
    <t>Scope 3</t>
  </si>
  <si>
    <t>WTT Scope 3 emissions from use of petrol and diesel.</t>
  </si>
  <si>
    <t>UK Electricity</t>
  </si>
  <si>
    <t>Scope 2</t>
  </si>
  <si>
    <t>Scope 2 emissions from use of electricity.</t>
  </si>
  <si>
    <t>Transmission and distribution</t>
  </si>
  <si>
    <t>Scope 3 emissions from T&amp;D losses from use of electricity.</t>
  </si>
  <si>
    <t>WTT- UK &amp; overseas elec</t>
  </si>
  <si>
    <t>Scope 3 emissions from WTT emissions from use of electricity.</t>
  </si>
  <si>
    <t>Method 2: Generic vehicle emission factors</t>
  </si>
  <si>
    <t>A</t>
  </si>
  <si>
    <t>Only Scope 1 emissions from petrol or diesel use.</t>
  </si>
  <si>
    <t>Delivery vehicles</t>
  </si>
  <si>
    <t>UK electricity for EVs</t>
  </si>
  <si>
    <t>Only Scope 2 emissions from electricity use.</t>
  </si>
  <si>
    <t>UK electricity T&amp;D for EVs</t>
  </si>
  <si>
    <t>Only Scope 3 emissions from electricity T&amp;D losses.</t>
  </si>
  <si>
    <t>OR</t>
  </si>
  <si>
    <t>B</t>
  </si>
  <si>
    <t>Business travel- land</t>
  </si>
  <si>
    <t>Sum of Scope 1 and Scope 2, plus Scope 3 electricity T&amp;D losses.</t>
  </si>
  <si>
    <t>Freighting goods</t>
  </si>
  <si>
    <t>Managed assets- vehicles</t>
  </si>
  <si>
    <t>AND</t>
  </si>
  <si>
    <t>C</t>
  </si>
  <si>
    <t>WTT- pass vehs &amp; travel- land</t>
  </si>
  <si>
    <t>Only Scope 3 WTT emissions (all fuel types, electricity)</t>
  </si>
  <si>
    <t>WTT- delivery vehs &amp; freight</t>
  </si>
  <si>
    <t>Why are emission factors for certain types of electric vehicle missing?</t>
  </si>
  <si>
    <t>Aviation is the only form of transport where the effects of radiative forcing are considered to be significant.</t>
  </si>
  <si>
    <t>For information about how the conversion factors have been derived, please refer to the 'Methodology paper' that accompanies the conversion factors.</t>
  </si>
  <si>
    <t>Table 13.2    Emissions of greenhouse gases by type of transport allocated to Scotland (MtCO2e)</t>
  </si>
  <si>
    <t>Year</t>
  </si>
  <si>
    <t xml:space="preserve">     Buses &amp; coaches</t>
  </si>
  <si>
    <t xml:space="preserve">     Passenger cars</t>
  </si>
  <si>
    <t xml:space="preserve">     Heavy Goods Vehicles</t>
  </si>
  <si>
    <t xml:space="preserve">     Light Goods Vehicles</t>
  </si>
  <si>
    <t xml:space="preserve">     Mopeds &amp; motorcycles</t>
  </si>
  <si>
    <t>Railways</t>
  </si>
  <si>
    <t>Total transport</t>
  </si>
  <si>
    <t>https://naei.beis.gov.uk/reports/reports?report_id=1080</t>
  </si>
  <si>
    <t>1. The method used to estimate carbon dioxide (CO2) emissions from road transport is based on vehicle kilometre travelled data constrained so that the sum of emissions across all parts of the UK equates to the total for the UK inventory.</t>
  </si>
  <si>
    <t xml:space="preserve">That total is derived from fuel sales data of petrol and DERV within the UK as specified in the reporting guidelines of the Intergovernmental Panel on Climate Change. Further detail can be found in Section 3.3 of the report and in Annex 2. </t>
  </si>
  <si>
    <t xml:space="preserve">   2. Other road includes urea used as part of an additive for certain categories of diesel engine, LPG use and road vehicle engines.  </t>
  </si>
  <si>
    <t xml:space="preserve">   3. Includes various additional emissions associated with both shipping and aviation such as support vehicles at airports or marine engines on ships</t>
  </si>
  <si>
    <t xml:space="preserve">   4. Net emissions take account of removals of carbon dioxide due to carbon sinks.</t>
  </si>
  <si>
    <t>Cold start emission factors by vehicle type</t>
  </si>
  <si>
    <t>National Atmospheric Emmissions Inventory- Emissions Factors for Transport</t>
  </si>
  <si>
    <t>From Table 4 in xlsx file on linked source page entitled "Fleet Weighted Road Transport Emission Factor 2021"</t>
  </si>
  <si>
    <t>Table 4: Cold start emission factors by vehicle type</t>
  </si>
  <si>
    <t>Cold start</t>
  </si>
  <si>
    <t>g/trip</t>
  </si>
  <si>
    <t>NOx</t>
  </si>
  <si>
    <t>PM10</t>
  </si>
  <si>
    <t>PM2.5</t>
  </si>
  <si>
    <t>CO</t>
  </si>
  <si>
    <t>VOC</t>
  </si>
  <si>
    <t>NH3</t>
  </si>
  <si>
    <t>N2O</t>
  </si>
  <si>
    <t>Benzene</t>
  </si>
  <si>
    <t>Petrol cars</t>
  </si>
  <si>
    <t>NE</t>
  </si>
  <si>
    <t>Diesel cars</t>
  </si>
  <si>
    <t>Petrol LGVs</t>
  </si>
  <si>
    <t>Diesel LGVs</t>
  </si>
  <si>
    <t>NB PM10 and PM2.5 emission factors for petrol vehicles are not estimated (N/E)</t>
  </si>
  <si>
    <t>Percentages:</t>
  </si>
  <si>
    <t>Scotland's GHG Inventory by source (1990-2021- Transport Only)</t>
  </si>
  <si>
    <t xml:space="preserve">"Greenhouse Gas Inventories for England, Scotland, Wales &amp; Northern Ireland: 1990-2021". </t>
  </si>
  <si>
    <t>2021 (report released 20/6/23)</t>
  </si>
  <si>
    <t>1990</t>
  </si>
  <si>
    <t>1995</t>
  </si>
  <si>
    <t>1998</t>
  </si>
  <si>
    <t>1999</t>
  </si>
  <si>
    <t>2000</t>
  </si>
  <si>
    <t>2001</t>
  </si>
  <si>
    <t>2002</t>
  </si>
  <si>
    <t>2003</t>
  </si>
  <si>
    <t>2004</t>
  </si>
  <si>
    <t>2005</t>
  </si>
  <si>
    <t>2006</t>
  </si>
  <si>
    <t>2007</t>
  </si>
  <si>
    <t>2008</t>
  </si>
  <si>
    <t>2009</t>
  </si>
  <si>
    <t>2010</t>
  </si>
  <si>
    <t>2011</t>
  </si>
  <si>
    <t>Transport</t>
  </si>
  <si>
    <t>1A3a_Domestic_aviation</t>
  </si>
  <si>
    <t>1A3bi_Cars</t>
  </si>
  <si>
    <t>1A3bii_Light_duty_trucks</t>
  </si>
  <si>
    <t>1A3biii_Heavy_duty_trucks_and_buses</t>
  </si>
  <si>
    <t>1A3biv_Motorcycles</t>
  </si>
  <si>
    <t>1A3bv_Other_road_transport</t>
  </si>
  <si>
    <t>1A3c_Railways</t>
  </si>
  <si>
    <t>1A3d_Domestic_navigation</t>
  </si>
  <si>
    <t>1A3eii_Other_Transportation</t>
  </si>
  <si>
    <t>1A4ai_Commercial/Institutional</t>
  </si>
  <si>
    <t>1A4ciii_Fishing</t>
  </si>
  <si>
    <t>1A5b_Other:Mobile</t>
  </si>
  <si>
    <t>2D1_Lubricant_Use</t>
  </si>
  <si>
    <t>2D3_Non-energy_products_from_fuels_and_solvent_use:Other</t>
  </si>
  <si>
    <t>Transport Total</t>
  </si>
  <si>
    <t>(kTCo2e</t>
  </si>
  <si>
    <t>Energy Supply</t>
  </si>
  <si>
    <t>1B2a3_Oil_transport</t>
  </si>
  <si>
    <t>Scottish Population, historic and predicted</t>
  </si>
  <si>
    <t>Table A is a Summary continuum from Table B and C of overall population</t>
  </si>
  <si>
    <t>Table B is taken from: 2020-based interim national population projections: year ending June 2022 estimated international migration variant.
-Dataset is entitled: "Scotland summary edition of this dataset", "PERSONS" tab, 2nd section of table, titled "Projected populations at mid-years by age last birthday"</t>
  </si>
  <si>
    <t xml:space="preserve">Total Population </t>
  </si>
  <si>
    <t>Table B: Population Predictions Summary</t>
  </si>
  <si>
    <t>Ages</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</si>
  <si>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</si>
  <si>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</si>
  <si>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</si>
  <si>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</si>
  <si>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</si>
  <si>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</si>
  <si>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</si>
  <si>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</si>
  <si>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</si>
  <si>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</si>
  <si>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</si>
  <si>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</si>
  <si>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</si>
  <si>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</si>
  <si>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</si>
  <si>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</si>
  <si>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</si>
  <si>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</si>
  <si>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</si>
  <si>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</si>
  <si>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</si>
  <si>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</si>
  <si>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</si>
  <si>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</si>
  <si>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</si>
  <si>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</si>
  <si>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</si>
  <si>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</si>
  <si>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</si>
  <si>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t>
  </si>
  <si>
    <t>Thousands</t>
  </si>
  <si>
    <t>0-14</t>
  </si>
  <si>
    <t>15-29</t>
  </si>
  <si>
    <t>30-44</t>
  </si>
  <si>
    <t>45-59</t>
  </si>
  <si>
    <t>60-74</t>
  </si>
  <si>
    <t>75 &amp; over</t>
  </si>
  <si>
    <t>All ages</t>
  </si>
  <si>
    <t>Percentages</t>
  </si>
  <si>
    <t>Mean age</t>
  </si>
  <si>
    <t>Median age</t>
  </si>
  <si>
    <t>Sex</t>
  </si>
  <si>
    <t>All Ages</t>
  </si>
  <si>
    <t>0 to 4</t>
  </si>
  <si>
    <t>5 to 9</t>
  </si>
  <si>
    <t>10 to 14</t>
  </si>
  <si>
    <t>15 to 19</t>
  </si>
  <si>
    <t>20 to 24</t>
  </si>
  <si>
    <t>25 to 29</t>
  </si>
  <si>
    <t>30 to 34</t>
  </si>
  <si>
    <t>35 to 39</t>
  </si>
  <si>
    <t>40 to 44</t>
  </si>
  <si>
    <t>45 to 49</t>
  </si>
  <si>
    <t>50 to 54</t>
  </si>
  <si>
    <t>55 to 59</t>
  </si>
  <si>
    <t>60 to 64</t>
  </si>
  <si>
    <t>65 to 69</t>
  </si>
  <si>
    <t>70 to 74</t>
  </si>
  <si>
    <t>75 to 79</t>
  </si>
  <si>
    <t>80 to 84</t>
  </si>
  <si>
    <t>85 and over</t>
  </si>
  <si>
    <t>85 to 89 
[note 5]</t>
  </si>
  <si>
    <t>90 and over 
[note 5]</t>
  </si>
  <si>
    <t>Persons</t>
  </si>
  <si>
    <t>[x]</t>
  </si>
  <si>
    <t>Vehicles licensed at 31 December 2019, by taxation group, body type and method of propulsion</t>
  </si>
  <si>
    <t>Scottish Transport Statistics No. 39 2020 Edition</t>
  </si>
  <si>
    <t>thousand</t>
  </si>
  <si>
    <t>by type of vehicle (taxation group)</t>
  </si>
  <si>
    <t>Private and light goods</t>
  </si>
  <si>
    <t>Motorcycles</t>
  </si>
  <si>
    <t>Buses</t>
  </si>
  <si>
    <t>Goods</t>
  </si>
  <si>
    <t>by body type</t>
  </si>
  <si>
    <t>Cars</t>
  </si>
  <si>
    <t>Taxis</t>
  </si>
  <si>
    <t>Three wheelers</t>
  </si>
  <si>
    <t>Buses and coaches</t>
  </si>
  <si>
    <t>Agricultural vehicles etc</t>
  </si>
  <si>
    <t>Other vehicles</t>
  </si>
  <si>
    <t>All vehicles</t>
  </si>
  <si>
    <t>Hybrid Electric</t>
  </si>
  <si>
    <t>Electricity</t>
  </si>
  <si>
    <t>Gas Bi-Fuel</t>
  </si>
  <si>
    <t>Gas or petrol/gas</t>
  </si>
  <si>
    <t>Steam</t>
  </si>
  <si>
    <t>Others</t>
  </si>
  <si>
    <t>Table (i): Fleet make up by method of propulsion, as a percentage</t>
  </si>
  <si>
    <t>Source: DVLA/DfT</t>
  </si>
  <si>
    <t>~ denotes fewer than 50.</t>
  </si>
  <si>
    <t xml:space="preserve">1. Vehicles in the Special Concessionary Group (part of other vehicles in 2002 and earlier years) are part of Crown and Exempt from 2003 onwards </t>
  </si>
  <si>
    <t>2. DfT have revised stock figures from 2006 to 2009 - see</t>
  </si>
  <si>
    <t>https://assets.publishing.service.gov.uk/government/uploads/system/uploads/attachment_data/file/763837/vehicle-licensing-statistics-notes-definitions.pdf</t>
  </si>
  <si>
    <t>90% of trips under 5km are changed to AT</t>
  </si>
  <si>
    <t>10% of long distance car journeys swap to AT &amp; Public transport</t>
  </si>
  <si>
    <t>Vehicle km increase as predicted</t>
  </si>
  <si>
    <t>70% of trips under 5km are changed to AT</t>
  </si>
  <si>
    <t>20% of long distance car journeys swap to AT &amp; Public transport</t>
  </si>
  <si>
    <t>Vehicle km remain the same</t>
  </si>
  <si>
    <t>50% of trips under 5km are changed to AT</t>
  </si>
  <si>
    <t>Vehicle km reduce by 20% relative to 2019 baseline</t>
  </si>
  <si>
    <t>30% of trips under 5km are changed to AT</t>
  </si>
  <si>
    <t>B.A.U (Scottish Transport predictions)</t>
  </si>
  <si>
    <t xml:space="preserve">    (b) drawing from the correct year (generally 2019, unless it was something which was not affected by Covid and for which we have newer data, for example conversion factors for GG)</t>
  </si>
  <si>
    <t>QA Task</t>
  </si>
  <si>
    <t>Status</t>
  </si>
  <si>
    <t>Comments</t>
  </si>
  <si>
    <t>Reply</t>
  </si>
  <si>
    <t>Final Status</t>
  </si>
  <si>
    <t>Do all the tables in the Tabs have a source linked to them?</t>
  </si>
  <si>
    <t>Are the links correct?</t>
  </si>
  <si>
    <t>Are the calculations for creating any table (in green)</t>
  </si>
  <si>
    <t>General sense check- do my assumptions and way of doing things make sense, and how difficult is it to follow?</t>
  </si>
  <si>
    <t>Query</t>
  </si>
  <si>
    <t>Missing cell reference in 'explanations' tab, D14. 
Missing links to source data in 'explanations' tab, E14. Understand there are multiple sources but I think it would be useful to add them all in here. I understand why they aren’t linked for the explanations of the calculations in the main dashbord though.</t>
  </si>
  <si>
    <t>Scottish population', A10. Table missing label. Think this should be Table A. A43 - I think this is labelled incorrectly, think this should be Table C.  
All tables are correct. Note where the link was linking to incorrect dataset I found the correct one and checked tables against that. 
'Scottish Fleet Size' When i downloaded the dataset Table 1.2 only contained data from 2009 onwards. Not sure why this is different as the name of the webpage and data set was identical to what you had outlined. Not sure where the data from 1993 - 2009 has come from?</t>
  </si>
  <si>
    <t>Tatis tables</t>
  </si>
  <si>
    <t>Cell reference</t>
  </si>
  <si>
    <t>H18</t>
  </si>
  <si>
    <t>Tatis tables', H18, states that it is total number of journeys in 2021. But average number of journeys and population data is calling from 2019</t>
  </si>
  <si>
    <t>D35-L35, D36-L36</t>
  </si>
  <si>
    <t>N45-U57</t>
  </si>
  <si>
    <t xml:space="preserve">gCo2e for various transport </t>
  </si>
  <si>
    <t>J14-T16 (Table i)</t>
  </si>
  <si>
    <t>N66-W76 (Table P1)</t>
  </si>
  <si>
    <t>Y67-AH102 (Table P2a,b,c)</t>
  </si>
  <si>
    <t>J20-M25 (Table ii - vi)</t>
  </si>
  <si>
    <r>
      <t xml:space="preserve">Tatis tables', P44, R44, T44. I think I would label this as 'Distance covered </t>
    </r>
    <r>
      <rPr>
        <i/>
        <sz val="11"/>
        <color rgb="FF000000"/>
        <rFont val="Calibri"/>
        <family val="2"/>
        <scheme val="minor"/>
      </rPr>
      <t>per year' to make it super clear</t>
    </r>
    <r>
      <rPr>
        <sz val="11"/>
        <color rgb="FF000000"/>
        <rFont val="Calibri"/>
        <family val="2"/>
        <scheme val="minor"/>
      </rPr>
      <t xml:space="preserve">
'gCo2e for various transports' K16, is not a formula  (calling cell from Tatis Tables). 
'gCo2e for various transports' L15 (and all weighting for gCo2e calculations), if i'm being super pedantic I would maybe sum together the bus and train percentages and then use this cell reference in the calculation for the 'weighting for gCo2e calculations' rather than just using the number (e.g. 12). Wouldn't change any figures but would ensure that they would update if any of the % figures changed (although i'm not sure why they would). It also makes it clearer where the figure that you're weighting by has come from.
'gCo2e for various Transport' Tables ii-vi. What is the justification for using co2 emissions for 'coach' rather than 'bus' - apologise if there is a justification somewhere but I couldn't find it. I think I would provide this somewhere. </t>
    </r>
  </si>
  <si>
    <t xml:space="preserve">    (a) correct*</t>
  </si>
  <si>
    <t>*I have interpreted this as checking the all of the tables (in green) from 'Tatis…' tab onwards (all formula/tables on background dashbourd/maindashboard checked in step 9 of QA). Table below shows what I've checked. Check has consisted of checking forumla to see it is calling correct cells, checking forumla that it makes sense for what calculation you're doing, formatting and labelling of everything in the table is correct</t>
  </si>
  <si>
    <t>The text that I've highlighted in red I would potentially move and add in a new row of the table in the 'explanations' tab. It felt more like technical detail rather than context (which is what most of the other text on that page feels like). It would also help because then you could be more specific about where exactly you're using those calculations (gCo2e... tab)</t>
  </si>
  <si>
    <t xml:space="preserve">Tatis tables' C20, as you've taken this from the 2019 dataset I would add a link to that here, as it look me a little bit to find the correct dataset and then the correct table within that for 2019. 
'GG emissions by transport type', C3. Link is linking to 2020 statistics rather than 2022.
'Historic Transport Emissions'. The link is correct and it is still the second link on the page, however, the file name after download is differerent. I think it could also be clearer exactly where in this file the table is from (tab and cell reference) as it look me a while to find the correct numbers.
'Scottish population', D5. This link is wrong as it's linking to the same place as previous link for population data (data in table B), rather than national records of scotland. </t>
  </si>
  <si>
    <t>Are the tables copied correctly?</t>
  </si>
  <si>
    <t>Background of dashboard', Table iii. What is the justification for using emissions by 'hybrid electric plug in vehicle', rather than 'hybrid vehicle' in calculations of emissions by distance for hybrid vehicles? Think this would be good to include. 
'Background of dashboard' Table iii - what is the value in including hybrid vehicles the calculations for Co2 emissions - including cold start emissions, if there are 0 cold start emissions for hybrid vehicles.
'Main dashboard', F7. I got myself very confused when thinking about this, so I may very well be wrong. However, as I see it the formula here is currently calculating (total emissions from car journeys between 5-40km*the percentage of those journeys switched to PT/AT) - (Total emissions if 40% of all journeys between 5-40km were switched to PT/AT). Should the second part of this formula not be (Total emissions if 40% of car journeys between 5-40km were switched to PT/AT)? [same applies for mid/high journeys 5-40km and low/mid/high journeys 40km+]</t>
  </si>
  <si>
    <t>Are formulas correct/drawing on the right figures, and make sense (going by the Explanations tab). [checked all forumula in main dashboard and background of dashboard in this step]</t>
  </si>
  <si>
    <t>Added in Cell reference in D14</t>
  </si>
  <si>
    <t>Distance covered per year (Low, in km)</t>
  </si>
  <si>
    <t>Distance covered per year (mid, in km)</t>
  </si>
  <si>
    <t>Distance covered per year (high, in km)</t>
  </si>
  <si>
    <t>P44, R44, T44 all updated to include "per year"
K16 updated to formula
Updated all weighting calculations to refer to cells
Good point- it's one I need to discuss with Issie/Heid. I picked one for simplicity, but we should come up with a distance cutoff at which to use bus v coach (with coaches being longer/intercity journeys, buses being more intracity transport). My thoughts would be to split it at the 5km mark, but tbc</t>
  </si>
  <si>
    <t>Total number of journeys made daily across Scotland in 2019 by any mode:</t>
  </si>
  <si>
    <t>Nice catch, updated text to say 2019</t>
  </si>
  <si>
    <t>Transport and Travel in Scotland 2019: Results from the Scottish Household Survey (Final link on page- "View Transport And Travel In Scotland 2019 Travel Diary Tables")</t>
  </si>
  <si>
    <t>Transport and Travel in Scotland 2021: Results from the Scottish Household Survey (Final link on page- "View Transport And Travel In Scotland 2021 Travel Diary Tables")</t>
  </si>
  <si>
    <t xml:space="preserve">All tables taken from database near base of linked pages entitled "View TATIS 2021 Travel Diary". All tables taken from 2021 tables (using 2019 data as it provides historically) bar Table TD2a, which is taken from the 2019 dataset as it only provides for the current year of the report. Items in green are own calculations. </t>
  </si>
  <si>
    <t>(Table TD2a taken from Tatis 2019)</t>
  </si>
  <si>
    <t>Datasets Section towards base of page: "View Chapter 13 Environment Reference Tables Scottish Transport Statistics 2022"- Table 13.2</t>
  </si>
  <si>
    <t>Link is to a search page, which shows the most recently published reports under "Devolved Administrations - Greenhouse Gas Reports". It provides the XLS document as titled above (currently 2nd result down, which when opened should have the title* as: "'Devolved Administration GHG Inventory 1990-2021" and the NAEI Ref as ED11787/2021/CD10737/BR
Data below is from the "Scotland by Source" Tab, Row 209-223 for Transport, and Row 120 for Energy Supply.
*For the report, as given On cell C7 on the "QA" tab. The actual workbook title is "2306200930_DA_GHGI_1990-2021_Final_v3.1 "</t>
  </si>
  <si>
    <t>Table C: Historic Populations by age group</t>
  </si>
  <si>
    <t>Table C taken from: national Records of Scotland: Population Estimates Time Series Data. Table_5 Row 5-116, titled: "Mid-year population estimates by sex and age group, 1911-2021".</t>
  </si>
  <si>
    <t>Forecasts are from January 2023, projections from 2020 onwards</t>
  </si>
  <si>
    <t xml:space="preserve">Table A: Historic &amp; projected overall population of Scotland </t>
  </si>
  <si>
    <t xml:space="preserve">Updated for C20/Table TD 2a; link in box at top of tab and clearer instructions as to where to find it.
Updated C3 to link to correct dataset page
I think it might be a conflict between the actual workbook title, and the report title. I've updated the "other details" cell info to make it clearer, and given both titles. Directions to Tab and rows added in
Link updated for Scottish Population
</t>
  </si>
  <si>
    <t xml:space="preserve">Updated A10 to have Table heading, and A43 to read Table C
</t>
  </si>
  <si>
    <t>Car journey miles under 2 miles</t>
  </si>
  <si>
    <t>Car journey miles under 5 miles</t>
  </si>
  <si>
    <t>Car journeys between 5km and 40km</t>
  </si>
  <si>
    <t>Long distance car journey Miles (40km+)</t>
  </si>
  <si>
    <t>Good question- looking into it.
No actual numeric value; this was mainly included to make it clear we are accounting for the entire car fleet- i.e., even though hybrid cold start emissions are 0, without showing we're calculating that it would only account for 98.4% of the fleet (a percentage which will decrease in future years). 
Great catch thanks! Yeah, it's a complicated formula, and you are correct- it was pointing at all journeys, but should be pointing at car journeys only I've updated it now to point at the correct cells.</t>
  </si>
  <si>
    <t>Car journeys over 40km as a percentage of total kilometres travelled</t>
  </si>
  <si>
    <t>Moved to Explanations tab</t>
  </si>
  <si>
    <t>Percentage of car journeys between 2km and 5km switched to AT:</t>
  </si>
  <si>
    <t>Presentation, ergonomics, Sustrans style</t>
  </si>
  <si>
    <t>Turn off gridlines to make it easy to pick out key information on a worksheet.
Load the Sustrans style template.</t>
  </si>
  <si>
    <t>*For journeys under 1km, the low point is taken as 400m (the Scottish Household Survey defines journeys as being trips of more than 1/4mile (equal to 402m)). The midpoint is then taken as 700m. 
(2021 mid year estimate of Scottish population * Mean daily journeys 2021)* 365= Total number of journeys (Tnj)
Tnj (Low)= Tnj* lowpoint for each distance bracket (e.g., for number of journeys which were 2-3km long, calculation is Tnj*2)
Tnj (Medium)= Tnj* Midpoint for each distance bracket (e.g., for number of journeys which were 2-3km long, calculation is Tnj*2.5)
Tnj (High)= Tnj* Highpoint for each distance bracket (e.g., for number of journeys which were 2-3km long, calculation is Tnj*2.9)
For Journeys of 40km+, 80km was chosen as the higher limit**.
**for now, needs more calculations on where long distance trips go to/from, currently based it a bit lower than the median distance between the 8 Scottish cities (median= 101, but Glasgow/Edinburgh make up 68% of the total population of the cities, and Dunfermline, Perth &amp; Stirling are all 28-95 km from Edinburgh/Glasgow)**</t>
  </si>
  <si>
    <t xml:space="preserve">*This assumption may not be accurate; currently train passenger numbers are predicted to increase, while buspassenger journeys are predicted to fall- although this is looking at growth factors rather than modal shift. The assumption we have taken was decided upon for simplicity at this current time
</t>
  </si>
  <si>
    <t>Dashboard Calculations</t>
  </si>
  <si>
    <t>B7-H16</t>
  </si>
  <si>
    <t>B18-K27</t>
  </si>
  <si>
    <t>B29-H47</t>
  </si>
  <si>
    <t>C9-C14</t>
  </si>
  <si>
    <t>B9-I12</t>
  </si>
  <si>
    <t>B13-I14</t>
  </si>
  <si>
    <t>Conversion of Cold Start Emissions to Co2e (g/trip)</t>
  </si>
  <si>
    <t>IPCC Sixth Assessment report 2021. "Chapter 7: The Earth's Energy Budget, Climate Feedbacks, and Climate Sensitivity"</t>
  </si>
  <si>
    <r>
      <t>1. For calculating C02e emissions, the total number of km driven for each distance category in Table ii on the "Background of Dashboard" tab was multiplied by the GHG conversion factors for an average car (given in Row 63 in the tab "2023 ghg conversion factors"). 
2. This multiplication was weighted by the makeup of car types in Scotland (i.e., petrol, diesel or other- obtained from AB40-AB49 in tab "Scottish Fleet Size"). 
3. Results (given in kg) were then divided by 1000000 to give a  kilotonne figure (i.e., divided by 1,000 to get how many tonnes of Co2e, then by 1,000 again to obtain a Kt figure)
4. This gave Co2e emissions by each distance category (C28-E34)
5. Cold start emissions were calculated by multiplying the number of trips at each distance category (O45-53, Tatis Tables 2021 tab) by the emissions given in the "Cold start Emissions" tab, weighted by the makeup of car types in Scotland (i.e., petrol, diesel or other- obtained from AB40-AB49 in tab "Scottish Fleet Size"). 
6. This is then added to the raw CO</t>
    </r>
    <r>
      <rPr>
        <vertAlign val="subscript"/>
        <sz val="14"/>
        <color theme="1"/>
        <rFont val="Calibri"/>
        <family val="2"/>
        <scheme val="minor"/>
      </rPr>
      <t>2</t>
    </r>
    <r>
      <rPr>
        <sz val="14"/>
        <color theme="1"/>
        <rFont val="Calibri"/>
        <family val="2"/>
        <scheme val="minor"/>
      </rPr>
      <t>e emissions from Step 4 (C28-E34) to give total CO</t>
    </r>
    <r>
      <rPr>
        <vertAlign val="subscript"/>
        <sz val="14"/>
        <color theme="1"/>
        <rFont val="Calibri"/>
        <family val="2"/>
        <scheme val="minor"/>
      </rPr>
      <t>2</t>
    </r>
    <r>
      <rPr>
        <sz val="14"/>
        <color theme="1"/>
        <rFont val="Calibri"/>
        <family val="2"/>
        <scheme val="minor"/>
      </rPr>
      <t>e emissions</t>
    </r>
  </si>
  <si>
    <r>
      <t>1. For each of the low/medium/high categories, selecting what percentage of trips are swapped to active travel simply multiplies the total carbon for that distance (C39-E39, "Background of Dashboard" tab) by the percentage swap to find the amount of carbon that would be saved as a result.
2. The percentage column (G5,I5,K5) gives the Kt figure from the previous step expressed as a percentage of total CO</t>
    </r>
    <r>
      <rPr>
        <vertAlign val="subscript"/>
        <sz val="14"/>
        <color theme="1"/>
        <rFont val="Calibri"/>
        <family val="2"/>
        <scheme val="minor"/>
      </rPr>
      <t>2</t>
    </r>
    <r>
      <rPr>
        <sz val="14"/>
        <color theme="1"/>
        <rFont val="Calibri"/>
        <family val="2"/>
        <scheme val="minor"/>
      </rPr>
      <t>e emissions from cars (C5-E5, "Background of Dashboard" tab).</t>
    </r>
  </si>
  <si>
    <r>
      <t>1. For these two categories, conceptually the idea is the same as in the rows above for under 2km and under 5km.
2. However, these are a combination of both active travel and public transport, and as such the carbon emissions from public transport need to be taken into account.
3. This was done firstly by making an assumption that some active travel will be taken at the start and end points of these journeys (i.e., getting from home to a bus station, etc.). The median walking (1.1km) and cycling (3.1km) distance (Table TD5a, C93-K103) were added together, and the resulting 4.2km taken away from each journey distance category to leave the amount that would be taken by public transport (Table (ii)-(vi), J20-M54, "GCo2e for various transport" tab).
4.Next, the current mode share percentage for buses/trains for each journey distance was obtained, and weighted (see table (i) J12-T16, "GCO</t>
    </r>
    <r>
      <rPr>
        <vertAlign val="subscript"/>
        <sz val="14"/>
        <color theme="1"/>
        <rFont val="Calibri"/>
        <family val="2"/>
        <scheme val="minor"/>
      </rPr>
      <t>2</t>
    </r>
    <r>
      <rPr>
        <sz val="14"/>
        <color theme="1"/>
        <rFont val="Calibri"/>
        <family val="2"/>
        <scheme val="minor"/>
      </rPr>
      <t>e for various transport" tab), with the assumption* that any increases in public transport would follow similar distribution among modes In other words, for trips over 40km in 2019, 5% were taken by bus and 7% by train, for a total of 12%. The additional trips as a result of modal shift were then weighted such that carbon emissions for five twelfths (42%) of these trips were calculated for coaches/buses, and seven twelfths (58%) for trains.</t>
    </r>
  </si>
  <si>
    <t>Car Journey distance</t>
  </si>
  <si>
    <t>% of car journeys</t>
  </si>
  <si>
    <t>% of car journey km</t>
  </si>
  <si>
    <t>Under 5km</t>
  </si>
  <si>
    <t>5-40km</t>
  </si>
  <si>
    <t>40+km</t>
  </si>
  <si>
    <t>2-3%</t>
  </si>
  <si>
    <t>Table P3: Car Journeys as a percentage of all Journeys</t>
  </si>
  <si>
    <t>Table 1. Carbon savings as a result of modal shift</t>
  </si>
  <si>
    <t>Car journey distances as a % of overall journey km, using all modes</t>
  </si>
  <si>
    <t>Number of car journeys as a % of all journeys, using all modes</t>
  </si>
  <si>
    <r>
      <t>% of car CO</t>
    </r>
    <r>
      <rPr>
        <b/>
        <vertAlign val="subscript"/>
        <sz val="14"/>
        <rFont val="Arial"/>
        <family val="2"/>
      </rPr>
      <t>2</t>
    </r>
    <r>
      <rPr>
        <b/>
        <sz val="14"/>
        <rFont val="Arial"/>
        <family val="2"/>
      </rPr>
      <t>e emissions</t>
    </r>
  </si>
  <si>
    <r>
      <t>% decrease in CO</t>
    </r>
    <r>
      <rPr>
        <b/>
        <vertAlign val="subscript"/>
        <sz val="14"/>
        <rFont val="Arial"/>
        <family val="2"/>
      </rPr>
      <t>2</t>
    </r>
    <r>
      <rPr>
        <b/>
        <sz val="14"/>
        <rFont val="Arial"/>
        <family val="2"/>
      </rPr>
      <t>e emissions for every 10% mode shift to AT (&lt;5km) or PT + AT (&gt;5km</t>
    </r>
    <r>
      <rPr>
        <sz val="14"/>
        <rFont val="Arial"/>
        <family val="2"/>
      </rPr>
      <t>    </t>
    </r>
    <r>
      <rPr>
        <b/>
        <sz val="14"/>
        <rFont val="Arial"/>
        <family val="2"/>
      </rPr>
      <t>)</t>
    </r>
  </si>
  <si>
    <r>
      <t>KtCO</t>
    </r>
    <r>
      <rPr>
        <b/>
        <vertAlign val="subscript"/>
        <sz val="14"/>
        <color theme="1"/>
        <rFont val="Calibri"/>
        <family val="2"/>
        <scheme val="minor"/>
      </rPr>
      <t>2</t>
    </r>
    <r>
      <rPr>
        <b/>
        <sz val="14"/>
        <color theme="1"/>
        <rFont val="Calibri"/>
        <family val="2"/>
        <scheme val="minor"/>
      </rPr>
      <t>e</t>
    </r>
  </si>
  <si>
    <r>
      <t>% of car CO</t>
    </r>
    <r>
      <rPr>
        <b/>
        <vertAlign val="subscript"/>
        <sz val="14"/>
        <color theme="1"/>
        <rFont val="Calibri"/>
        <family val="2"/>
        <scheme val="minor"/>
      </rPr>
      <t>2</t>
    </r>
    <r>
      <rPr>
        <b/>
        <sz val="14"/>
        <color theme="1"/>
        <rFont val="Calibri"/>
        <family val="2"/>
        <scheme val="minor"/>
      </rPr>
      <t>e emissions saved</t>
    </r>
  </si>
  <si>
    <t>Table 2. Breakdown of number of journeys, distances travelled and emissions from cars</t>
  </si>
  <si>
    <r>
      <t xml:space="preserve">**On any Tab, figures and tables in </t>
    </r>
    <r>
      <rPr>
        <b/>
        <sz val="14"/>
        <color theme="1"/>
        <rFont val="Calibri"/>
        <family val="2"/>
        <scheme val="minor"/>
      </rPr>
      <t>BLACK</t>
    </r>
    <r>
      <rPr>
        <sz val="14"/>
        <color theme="1"/>
        <rFont val="Calibri"/>
        <family val="2"/>
        <scheme val="minor"/>
      </rPr>
      <t xml:space="preserve"> are taken directly from source material. Figures and tables in </t>
    </r>
    <r>
      <rPr>
        <b/>
        <sz val="14"/>
        <color theme="9"/>
        <rFont val="Calibri"/>
        <family val="2"/>
        <scheme val="minor"/>
      </rPr>
      <t>GREEN</t>
    </r>
    <r>
      <rPr>
        <sz val="14"/>
        <color theme="1"/>
        <rFont val="Calibri"/>
        <family val="2"/>
        <scheme val="minor"/>
      </rPr>
      <t xml:space="preserve"> have been calculated and added in within this spreadsheet</t>
    </r>
  </si>
  <si>
    <t>Table TD1a taken from TATIS, 2021</t>
  </si>
  <si>
    <t>Table TD5a taken from Tatis 2021</t>
  </si>
  <si>
    <t>Table TD4d taken from Tatis 2021</t>
  </si>
  <si>
    <r>
      <t>Table iii: CO</t>
    </r>
    <r>
      <rPr>
        <b/>
        <vertAlign val="subscript"/>
        <sz val="14"/>
        <color theme="9"/>
        <rFont val="Arial"/>
        <family val="2"/>
      </rPr>
      <t>2</t>
    </r>
    <r>
      <rPr>
        <b/>
        <sz val="14"/>
        <color theme="9"/>
        <rFont val="Arial"/>
        <family val="2"/>
      </rPr>
      <t>e emissions</t>
    </r>
  </si>
  <si>
    <r>
      <t>CO</t>
    </r>
    <r>
      <rPr>
        <b/>
        <vertAlign val="subscript"/>
        <sz val="14"/>
        <color theme="9"/>
        <rFont val="Arial"/>
        <family val="2"/>
      </rPr>
      <t>2</t>
    </r>
    <r>
      <rPr>
        <b/>
        <sz val="14"/>
        <color theme="9"/>
        <rFont val="Arial"/>
        <family val="2"/>
      </rPr>
      <t>e Emissions by distance</t>
    </r>
  </si>
  <si>
    <r>
      <t>CO</t>
    </r>
    <r>
      <rPr>
        <b/>
        <vertAlign val="subscript"/>
        <sz val="14"/>
        <color theme="9"/>
        <rFont val="Calibri"/>
        <family val="2"/>
        <scheme val="minor"/>
      </rPr>
      <t>2</t>
    </r>
    <r>
      <rPr>
        <b/>
        <sz val="14"/>
        <color theme="9"/>
        <rFont val="Calibri"/>
        <family val="2"/>
        <scheme val="minor"/>
      </rPr>
      <t>e emissions (KtCO</t>
    </r>
    <r>
      <rPr>
        <b/>
        <vertAlign val="subscript"/>
        <sz val="14"/>
        <color theme="9"/>
        <rFont val="Calibri"/>
        <family val="2"/>
        <scheme val="minor"/>
      </rPr>
      <t>2</t>
    </r>
    <r>
      <rPr>
        <b/>
        <sz val="14"/>
        <color theme="9"/>
        <rFont val="Calibri"/>
        <family val="2"/>
        <scheme val="minor"/>
      </rPr>
      <t>e)</t>
    </r>
  </si>
  <si>
    <r>
      <t>CO</t>
    </r>
    <r>
      <rPr>
        <b/>
        <vertAlign val="subscript"/>
        <sz val="14"/>
        <color theme="9"/>
        <rFont val="Arial"/>
        <family val="2"/>
      </rPr>
      <t>2</t>
    </r>
    <r>
      <rPr>
        <b/>
        <sz val="14"/>
        <color theme="9"/>
        <rFont val="Arial"/>
        <family val="2"/>
      </rPr>
      <t>e Emissions (MtCO</t>
    </r>
    <r>
      <rPr>
        <b/>
        <vertAlign val="subscript"/>
        <sz val="14"/>
        <color theme="9"/>
        <rFont val="Arial"/>
        <family val="2"/>
      </rPr>
      <t>2</t>
    </r>
    <r>
      <rPr>
        <b/>
        <sz val="14"/>
        <color theme="9"/>
        <rFont val="Arial"/>
        <family val="2"/>
      </rPr>
      <t>e) (including cold start emissions)</t>
    </r>
  </si>
  <si>
    <r>
      <t xml:space="preserve">Table 13.5   UK Carbon Dioxide equivalent emissions 2022 </t>
    </r>
    <r>
      <rPr>
        <b/>
        <vertAlign val="superscript"/>
        <sz val="14"/>
        <color theme="1"/>
        <rFont val="Calibri"/>
        <family val="2"/>
        <scheme val="minor"/>
      </rPr>
      <t>1</t>
    </r>
  </si>
  <si>
    <r>
      <t>Petrol cars</t>
    </r>
    <r>
      <rPr>
        <vertAlign val="superscript"/>
        <sz val="14"/>
        <rFont val="Arial"/>
        <family val="2"/>
      </rPr>
      <t>2</t>
    </r>
  </si>
  <si>
    <r>
      <t>Weighting for gCO</t>
    </r>
    <r>
      <rPr>
        <b/>
        <vertAlign val="subscript"/>
        <sz val="14"/>
        <color theme="9"/>
        <rFont val="Calibri"/>
        <family val="2"/>
        <scheme val="minor"/>
      </rPr>
      <t>2</t>
    </r>
    <r>
      <rPr>
        <b/>
        <sz val="14"/>
        <color theme="9"/>
        <rFont val="Calibri"/>
        <family val="2"/>
        <scheme val="minor"/>
      </rPr>
      <t>e</t>
    </r>
  </si>
  <si>
    <r>
      <t>Diesel cars</t>
    </r>
    <r>
      <rPr>
        <vertAlign val="superscript"/>
        <sz val="14"/>
        <rFont val="Arial"/>
        <family val="2"/>
      </rPr>
      <t>2</t>
    </r>
  </si>
  <si>
    <r>
      <t>Hybrid</t>
    </r>
    <r>
      <rPr>
        <vertAlign val="superscript"/>
        <sz val="14"/>
        <rFont val="Arial"/>
        <family val="2"/>
      </rPr>
      <t>2</t>
    </r>
  </si>
  <si>
    <r>
      <t>Domestic flights</t>
    </r>
    <r>
      <rPr>
        <vertAlign val="superscript"/>
        <sz val="14"/>
        <rFont val="Arial"/>
        <family val="2"/>
      </rPr>
      <t>3,4</t>
    </r>
  </si>
  <si>
    <r>
      <t>Short haul international</t>
    </r>
    <r>
      <rPr>
        <vertAlign val="superscript"/>
        <sz val="14"/>
        <rFont val="Arial"/>
        <family val="2"/>
      </rPr>
      <t>3,4</t>
    </r>
  </si>
  <si>
    <r>
      <t>Long haul international</t>
    </r>
    <r>
      <rPr>
        <vertAlign val="superscript"/>
        <sz val="14"/>
        <rFont val="Arial"/>
        <family val="2"/>
      </rPr>
      <t>3,4</t>
    </r>
  </si>
  <si>
    <r>
      <t>g CO</t>
    </r>
    <r>
      <rPr>
        <vertAlign val="subscript"/>
        <sz val="14"/>
        <rFont val="Calibri"/>
        <family val="2"/>
        <scheme val="minor"/>
      </rPr>
      <t>2</t>
    </r>
    <r>
      <rPr>
        <sz val="14"/>
        <rFont val="Calibri"/>
        <family val="2"/>
        <scheme val="minor"/>
      </rPr>
      <t>e per passenger km</t>
    </r>
  </si>
  <si>
    <r>
      <t>●  For vehicles where an organisation has data in litres of fuel or kWh electricity consumed, the</t>
    </r>
    <r>
      <rPr>
        <i/>
        <sz val="14"/>
        <color indexed="56"/>
        <rFont val="Calibri"/>
        <family val="2"/>
      </rPr>
      <t xml:space="preserve"> ‘</t>
    </r>
    <r>
      <rPr>
        <sz val="14"/>
        <color indexed="56"/>
        <rFont val="Calibri"/>
        <family val="2"/>
      </rPr>
      <t>fuels’ or 'electricity' conversion factors should be applied, which provide more accurate emissions results.</t>
    </r>
  </si>
  <si>
    <r>
      <rPr>
        <sz val="14"/>
        <color indexed="56"/>
        <rFont val="Calibri"/>
        <family val="2"/>
      </rPr>
      <t>●  For vehicles that run on biofuels, please refer to the ‘bioenergy’ conversion factors. It should be noted that any vehicle running on biofuel should also have an ‘outside of scopes’ CO</t>
    </r>
    <r>
      <rPr>
        <vertAlign val="subscript"/>
        <sz val="14"/>
        <color indexed="56"/>
        <rFont val="Calibri"/>
        <family val="2"/>
      </rPr>
      <t>2</t>
    </r>
    <r>
      <rPr>
        <sz val="14"/>
        <color indexed="56"/>
        <rFont val="Calibri"/>
        <family val="2"/>
      </rPr>
      <t xml:space="preserve"> figure reported separately. See the '</t>
    </r>
    <r>
      <rPr>
        <u/>
        <sz val="14"/>
        <color indexed="12"/>
        <rFont val="Calibri"/>
        <family val="2"/>
      </rPr>
      <t>Outside of scopes</t>
    </r>
    <r>
      <rPr>
        <u/>
        <sz val="14"/>
        <color indexed="56"/>
        <rFont val="Calibri"/>
        <family val="2"/>
      </rPr>
      <t>'</t>
    </r>
    <r>
      <rPr>
        <sz val="14"/>
        <color indexed="56"/>
        <rFont val="Calibri"/>
        <family val="2"/>
      </rPr>
      <t xml:space="preserve"> tab for more detail on this.</t>
    </r>
  </si>
  <si>
    <r>
      <rPr>
        <sz val="14"/>
        <color indexed="56"/>
        <rFont val="Calibri"/>
        <family val="2"/>
      </rPr>
      <t>●  Where a vehicle is used by an organisation, but it isn't owned by the organisation, then the emissions from the vehicle can be reported in Scope 3 instead of Scope 1, using the same factors.  These factors can also be found in the Scope 3 under ‘</t>
    </r>
    <r>
      <rPr>
        <u/>
        <sz val="14"/>
        <color indexed="12"/>
        <rFont val="Calibri"/>
        <family val="2"/>
      </rPr>
      <t>Business travel-land</t>
    </r>
    <r>
      <rPr>
        <sz val="14"/>
        <color indexed="56"/>
        <rFont val="Calibri"/>
        <family val="2"/>
      </rPr>
      <t>’ or ‘managed assets- vehicles’).</t>
    </r>
  </si>
  <si>
    <r>
      <t>Company E uses conversion factors appropriate to each of its cars. For example, for its 1.6-litre diesel car, it uses a</t>
    </r>
    <r>
      <rPr>
        <sz val="14"/>
        <color indexed="56"/>
        <rFont val="Calibri"/>
        <family val="2"/>
      </rPr>
      <t xml:space="preserve"> 'medium car: diesel' factor. It owns some vehicles for which engine size and fuel type data are not available, so it uses the</t>
    </r>
    <r>
      <rPr>
        <i/>
        <sz val="14"/>
        <color indexed="56"/>
        <rFont val="Calibri"/>
        <family val="2"/>
      </rPr>
      <t xml:space="preserve"> </t>
    </r>
    <r>
      <rPr>
        <sz val="14"/>
        <color indexed="56"/>
        <rFont val="Calibri"/>
        <family val="2"/>
      </rPr>
      <t xml:space="preserve">'average car: unknown fuel type' factor. </t>
    </r>
  </si>
  <si>
    <r>
      <t>In some cases, the company knows what model the car is. In this case, it may choose to apply a conversion factor by market segment instead (found in the</t>
    </r>
    <r>
      <rPr>
        <sz val="14"/>
        <color indexed="56"/>
        <rFont val="Calibri"/>
        <family val="2"/>
      </rPr>
      <t xml:space="preserve"> 'cars (by market segment)' table).  </t>
    </r>
  </si>
  <si>
    <r>
      <t>kg CO</t>
    </r>
    <r>
      <rPr>
        <vertAlign val="subscript"/>
        <sz val="14"/>
        <color indexed="56"/>
        <rFont val="Calibri"/>
        <family val="2"/>
      </rPr>
      <t>2</t>
    </r>
    <r>
      <rPr>
        <sz val="14"/>
        <color indexed="56"/>
        <rFont val="Calibri"/>
        <family val="2"/>
      </rPr>
      <t>e</t>
    </r>
  </si>
  <si>
    <r>
      <t>kg CO</t>
    </r>
    <r>
      <rPr>
        <vertAlign val="subscript"/>
        <sz val="14"/>
        <color rgb="FF002060"/>
        <rFont val="Calibri"/>
        <family val="2"/>
        <scheme val="minor"/>
      </rPr>
      <t>2</t>
    </r>
    <r>
      <rPr>
        <sz val="14"/>
        <color rgb="FF002060"/>
        <rFont val="Calibri"/>
        <family val="2"/>
        <scheme val="minor"/>
      </rPr>
      <t>e of CO</t>
    </r>
    <r>
      <rPr>
        <vertAlign val="subscript"/>
        <sz val="14"/>
        <color rgb="FF002060"/>
        <rFont val="Calibri"/>
        <family val="2"/>
        <scheme val="minor"/>
      </rPr>
      <t>2</t>
    </r>
    <r>
      <rPr>
        <sz val="14"/>
        <color rgb="FF002060"/>
        <rFont val="Calibri"/>
        <family val="2"/>
        <scheme val="minor"/>
      </rPr>
      <t xml:space="preserve"> per unit</t>
    </r>
  </si>
  <si>
    <r>
      <t>kg CO</t>
    </r>
    <r>
      <rPr>
        <vertAlign val="subscript"/>
        <sz val="14"/>
        <color rgb="FF002060"/>
        <rFont val="Calibri"/>
        <family val="2"/>
        <scheme val="minor"/>
      </rPr>
      <t>2</t>
    </r>
    <r>
      <rPr>
        <sz val="14"/>
        <color rgb="FF002060"/>
        <rFont val="Calibri"/>
        <family val="2"/>
        <scheme val="minor"/>
      </rPr>
      <t>e of CH</t>
    </r>
    <r>
      <rPr>
        <vertAlign val="subscript"/>
        <sz val="14"/>
        <color rgb="FF002060"/>
        <rFont val="Calibri"/>
        <family val="2"/>
        <scheme val="minor"/>
      </rPr>
      <t>4</t>
    </r>
    <r>
      <rPr>
        <sz val="14"/>
        <color rgb="FF002060"/>
        <rFont val="Calibri"/>
        <family val="2"/>
        <scheme val="minor"/>
      </rPr>
      <t xml:space="preserve"> per unit</t>
    </r>
  </si>
  <si>
    <r>
      <t>kg CO</t>
    </r>
    <r>
      <rPr>
        <vertAlign val="subscript"/>
        <sz val="14"/>
        <color rgb="FF002060"/>
        <rFont val="Calibri"/>
        <family val="2"/>
        <scheme val="minor"/>
      </rPr>
      <t>2</t>
    </r>
    <r>
      <rPr>
        <sz val="14"/>
        <color rgb="FF002060"/>
        <rFont val="Calibri"/>
        <family val="2"/>
        <scheme val="minor"/>
      </rPr>
      <t>e of N</t>
    </r>
    <r>
      <rPr>
        <vertAlign val="subscript"/>
        <sz val="14"/>
        <color rgb="FF002060"/>
        <rFont val="Calibri"/>
        <family val="2"/>
        <scheme val="minor"/>
      </rPr>
      <t>2</t>
    </r>
    <r>
      <rPr>
        <sz val="14"/>
        <color rgb="FF002060"/>
        <rFont val="Calibri"/>
        <family val="2"/>
        <scheme val="minor"/>
      </rPr>
      <t>O per unit</t>
    </r>
  </si>
  <si>
    <r>
      <t>An error was identified in converting Unknown and Plug-in Hybrid Electric Vehicle conversion factors to AR5. kg CO</t>
    </r>
    <r>
      <rPr>
        <i/>
        <vertAlign val="subscript"/>
        <sz val="14"/>
        <color rgb="FFFF0000"/>
        <rFont val="Calibri"/>
        <family val="2"/>
        <scheme val="minor"/>
      </rPr>
      <t>2</t>
    </r>
    <r>
      <rPr>
        <i/>
        <sz val="14"/>
        <color rgb="FFFF0000"/>
        <rFont val="Calibri"/>
        <family val="2"/>
        <scheme val="minor"/>
      </rPr>
      <t>e of CH</t>
    </r>
    <r>
      <rPr>
        <i/>
        <vertAlign val="subscript"/>
        <sz val="14"/>
        <color rgb="FFFF0000"/>
        <rFont val="Calibri"/>
        <family val="2"/>
        <scheme val="minor"/>
      </rPr>
      <t>4</t>
    </r>
    <r>
      <rPr>
        <i/>
        <sz val="14"/>
        <color rgb="FFFF0000"/>
        <rFont val="Calibri"/>
        <family val="2"/>
        <scheme val="minor"/>
      </rPr>
      <t xml:space="preserve"> and N</t>
    </r>
    <r>
      <rPr>
        <i/>
        <vertAlign val="subscript"/>
        <sz val="14"/>
        <color rgb="FFFF0000"/>
        <rFont val="Calibri"/>
        <family val="2"/>
        <scheme val="minor"/>
      </rPr>
      <t>2</t>
    </r>
    <r>
      <rPr>
        <i/>
        <sz val="14"/>
        <color rgb="FFFF0000"/>
        <rFont val="Calibri"/>
        <family val="2"/>
        <scheme val="minor"/>
      </rPr>
      <t>O per unit, and therefore the kg CO</t>
    </r>
    <r>
      <rPr>
        <i/>
        <vertAlign val="subscript"/>
        <sz val="14"/>
        <color rgb="FFFF0000"/>
        <rFont val="Calibri"/>
        <family val="2"/>
        <scheme val="minor"/>
      </rPr>
      <t>2</t>
    </r>
    <r>
      <rPr>
        <i/>
        <sz val="14"/>
        <color rgb="FFFF0000"/>
        <rFont val="Calibri"/>
        <family val="2"/>
        <scheme val="minor"/>
      </rPr>
      <t>e total, have been updated since version 1.0 of this file</t>
    </r>
  </si>
  <si>
    <r>
      <t>I know the average gCO</t>
    </r>
    <r>
      <rPr>
        <b/>
        <vertAlign val="subscript"/>
        <sz val="14"/>
        <color indexed="56"/>
        <rFont val="Calibri"/>
        <family val="2"/>
      </rPr>
      <t>2</t>
    </r>
    <r>
      <rPr>
        <b/>
        <sz val="14"/>
        <color indexed="56"/>
        <rFont val="Calibri"/>
        <family val="2"/>
      </rPr>
      <t>/km of my passenger vehicles as well as mileage; can this be used to improve my calculations?</t>
    </r>
  </si>
  <si>
    <r>
      <t>If you know the manufacturer's gCO</t>
    </r>
    <r>
      <rPr>
        <vertAlign val="subscript"/>
        <sz val="14"/>
        <color indexed="56"/>
        <rFont val="Calibri"/>
        <family val="2"/>
      </rPr>
      <t>2</t>
    </r>
    <r>
      <rPr>
        <sz val="14"/>
        <color indexed="56"/>
        <rFont val="Calibri"/>
        <family val="2"/>
      </rPr>
      <t>/km data, this may be used as an alternative (and more precise) calculation for your passenger vehicle’s emissions. The factors provided by manufacturers should be uplifted. Please see the methodology paper published alongside the Conversion Factors on the correct uplift factor to use.</t>
    </r>
  </si>
  <si>
    <r>
      <rPr>
        <b/>
        <sz val="14"/>
        <color indexed="56"/>
        <rFont val="Calibri"/>
        <family val="2"/>
      </rPr>
      <t>Emissions</t>
    </r>
    <r>
      <rPr>
        <sz val="14"/>
        <color indexed="56"/>
        <rFont val="Calibri"/>
        <family val="2"/>
      </rPr>
      <t xml:space="preserve"> =  Total energy consumption (fuel, electricity)  x  Emission Factors (fuel, electricity)</t>
    </r>
  </si>
  <si>
    <r>
      <rPr>
        <b/>
        <sz val="14"/>
        <color indexed="56"/>
        <rFont val="Calibri"/>
        <family val="2"/>
      </rPr>
      <t>Emissions</t>
    </r>
    <r>
      <rPr>
        <sz val="14"/>
        <color indexed="56"/>
        <rFont val="Calibri"/>
        <family val="2"/>
      </rPr>
      <t xml:space="preserve"> =  Total activity for vehicle category (in km, miles or tonne-km)  x  Emission Factor</t>
    </r>
  </si>
  <si>
    <r>
      <rPr>
        <b/>
        <i/>
        <sz val="14"/>
        <color indexed="56"/>
        <rFont val="Calibri"/>
        <family val="2"/>
      </rPr>
      <t>Note:</t>
    </r>
    <r>
      <rPr>
        <b/>
        <sz val="14"/>
        <color indexed="56"/>
        <rFont val="Calibri"/>
        <family val="2"/>
      </rPr>
      <t xml:space="preserve"> the emission factors already account for the average share of driving using electricity or conventional fuel for plug-in hybrid electric vehicles, so the </t>
    </r>
    <r>
      <rPr>
        <b/>
        <u/>
        <sz val="14"/>
        <color indexed="56"/>
        <rFont val="Calibri"/>
        <family val="2"/>
      </rPr>
      <t>total</t>
    </r>
    <r>
      <rPr>
        <b/>
        <sz val="14"/>
        <color indexed="56"/>
        <rFont val="Calibri"/>
        <family val="2"/>
      </rPr>
      <t xml:space="preserve"> number of km / miles / tonne-km should be used in calculations.</t>
    </r>
  </si>
  <si>
    <r>
      <t xml:space="preserve">Sum of elements:     </t>
    </r>
    <r>
      <rPr>
        <sz val="14"/>
        <color indexed="56"/>
        <rFont val="Calibri"/>
        <family val="2"/>
      </rPr>
      <t xml:space="preserve"> </t>
    </r>
    <r>
      <rPr>
        <b/>
        <sz val="14"/>
        <color indexed="56"/>
        <rFont val="Calibri"/>
        <family val="2"/>
      </rPr>
      <t>A + C</t>
    </r>
    <r>
      <rPr>
        <sz val="14"/>
        <color indexed="56"/>
        <rFont val="Calibri"/>
        <family val="2"/>
      </rPr>
      <t xml:space="preserve"> </t>
    </r>
    <r>
      <rPr>
        <i/>
        <sz val="14"/>
        <color indexed="56"/>
        <rFont val="Calibri"/>
        <family val="2"/>
      </rPr>
      <t xml:space="preserve">  OR  </t>
    </r>
    <r>
      <rPr>
        <b/>
        <sz val="14"/>
        <color indexed="56"/>
        <rFont val="Calibri"/>
        <family val="2"/>
      </rPr>
      <t>B + C</t>
    </r>
  </si>
  <si>
    <r>
      <rPr>
        <b/>
        <u/>
        <sz val="14"/>
        <color rgb="FF053D5F"/>
        <rFont val="Calibri"/>
        <family val="2"/>
        <scheme val="minor"/>
      </rPr>
      <t xml:space="preserve">Example: </t>
    </r>
    <r>
      <rPr>
        <sz val="14"/>
        <color rgb="FF053D5F"/>
        <rFont val="Calibri"/>
        <family val="2"/>
        <scheme val="minor"/>
      </rPr>
      <t xml:space="preserve">
Company B wants to report on its Scope 1 fuel emissions from a large PHEV car (if the car model is known, the market and size can be checked from the table in the Methodology Paper):</t>
    </r>
  </si>
  <si>
    <r>
      <rPr>
        <b/>
        <u/>
        <sz val="14"/>
        <color rgb="FF053D5F"/>
        <rFont val="Calibri"/>
        <family val="2"/>
        <scheme val="minor"/>
      </rPr>
      <t xml:space="preserve">Situation A) </t>
    </r>
    <r>
      <rPr>
        <sz val="14"/>
        <color rgb="FF053D5F"/>
        <rFont val="Calibri"/>
        <family val="2"/>
        <scheme val="minor"/>
      </rPr>
      <t xml:space="preserve">
Company B has data in fuel (in litres) and electricity (kWh) consumed, the ‘fuels’ and 'UK electricity' conversion factors should be applied, which provide more accurate emissions results. 
</t>
    </r>
    <r>
      <rPr>
        <b/>
        <sz val="14"/>
        <color rgb="FF053D5F"/>
        <rFont val="Calibri"/>
        <family val="2"/>
        <scheme val="minor"/>
      </rPr>
      <t>"Method 1: Energy consumption" should be used.</t>
    </r>
    <r>
      <rPr>
        <sz val="14"/>
        <color rgb="FF053D5F"/>
        <rFont val="Calibri"/>
        <family val="2"/>
        <scheme val="minor"/>
      </rPr>
      <t xml:space="preserve">
Emissions =  Total energy consumption (fuel, electricity)  x  Emission Factors (fuel, electricity)
- Some PHEVs' onboard data can provide information on the electric and fuel consumption, try to consult the vehicle's user manual or contact the manufacturer for instructions on accessing this information. These can be used to estimate fuel (in litres) and electricity (kWh) consumed.</t>
    </r>
  </si>
  <si>
    <r>
      <rPr>
        <b/>
        <u/>
        <sz val="14"/>
        <color rgb="FF053D5F"/>
        <rFont val="Calibri"/>
        <family val="2"/>
        <scheme val="minor"/>
      </rPr>
      <t xml:space="preserve">Situation B) </t>
    </r>
    <r>
      <rPr>
        <sz val="14"/>
        <color rgb="FF053D5F"/>
        <rFont val="Calibri"/>
        <family val="2"/>
        <scheme val="minor"/>
      </rPr>
      <t xml:space="preserve">
If there is no data available to estimate fuel/electricity consumption, or how much of the mileage is driven by fuel compared to mileage driven by electricity. Only the total mileage is known.
</t>
    </r>
    <r>
      <rPr>
        <b/>
        <sz val="14"/>
        <color rgb="FF053D5F"/>
        <rFont val="Calibri"/>
        <family val="2"/>
        <scheme val="minor"/>
      </rPr>
      <t xml:space="preserve">"Method 2: Generic vehicle emission factors" should be used.	</t>
    </r>
    <r>
      <rPr>
        <sz val="14"/>
        <color rgb="FF053D5F"/>
        <rFont val="Calibri"/>
        <family val="2"/>
        <scheme val="minor"/>
      </rPr>
      <t xml:space="preserve">
Emissions =  Total activity for vehicle category (in km, miles or tonne-km)  x  Emission Factor	</t>
    </r>
  </si>
  <si>
    <r>
      <rPr>
        <b/>
        <u/>
        <sz val="14"/>
        <color rgb="FF053D5F"/>
        <rFont val="Calibri"/>
        <family val="2"/>
        <scheme val="minor"/>
      </rPr>
      <t>A worked example of "Method 2: Generic vehicle emission factors"</t>
    </r>
    <r>
      <rPr>
        <sz val="14"/>
        <color rgb="FF053D5F"/>
        <rFont val="Calibri"/>
        <family val="2"/>
        <scheme val="minor"/>
      </rPr>
      <t>:
- The PHEV car has travelled 10,000 miles in a year.
- In 2023, the conversion factors for PHEV Car (Large): 0.11397 kg CO</t>
    </r>
    <r>
      <rPr>
        <vertAlign val="subscript"/>
        <sz val="14"/>
        <color rgb="FF053D5F"/>
        <rFont val="Calibri"/>
        <family val="2"/>
        <scheme val="minor"/>
      </rPr>
      <t>2</t>
    </r>
    <r>
      <rPr>
        <sz val="14"/>
        <color rgb="FF053D5F"/>
        <rFont val="Calibri"/>
        <family val="2"/>
        <scheme val="minor"/>
      </rPr>
      <t>e / mile;
Emissions =  Total activity for vehicle category (in km, miles or tonne-km)  x  Emission Factor
= 10,000 miles x 0.11397 kg CO</t>
    </r>
    <r>
      <rPr>
        <vertAlign val="subscript"/>
        <sz val="14"/>
        <color rgb="FF053D5F"/>
        <rFont val="Calibri"/>
        <family val="2"/>
        <scheme val="minor"/>
      </rPr>
      <t>2</t>
    </r>
    <r>
      <rPr>
        <sz val="14"/>
        <color rgb="FF053D5F"/>
        <rFont val="Calibri"/>
        <family val="2"/>
        <scheme val="minor"/>
      </rPr>
      <t>e / mile = 1140 kg CO</t>
    </r>
    <r>
      <rPr>
        <vertAlign val="subscript"/>
        <sz val="14"/>
        <color rgb="FF053D5F"/>
        <rFont val="Calibri"/>
        <family val="2"/>
        <scheme val="minor"/>
      </rPr>
      <t>2</t>
    </r>
    <r>
      <rPr>
        <sz val="14"/>
        <color rgb="FF053D5F"/>
        <rFont val="Calibri"/>
        <family val="2"/>
        <scheme val="minor"/>
      </rPr>
      <t>e. 
Note: the emission factors already account for the average share of driving using electricity or conventional fuel for plug-in hybrid electric vehicles, so the</t>
    </r>
    <r>
      <rPr>
        <u/>
        <sz val="14"/>
        <color rgb="FF053D5F"/>
        <rFont val="Calibri"/>
        <family val="2"/>
        <scheme val="minor"/>
      </rPr>
      <t xml:space="preserve"> total number of km / miles / tonne-km should be used</t>
    </r>
    <r>
      <rPr>
        <sz val="14"/>
        <color rgb="FF053D5F"/>
        <rFont val="Calibri"/>
        <family val="2"/>
        <scheme val="minor"/>
      </rPr>
      <t xml:space="preserve"> in calculations.
Emissions from the electricity consumed by the PHEV can be calculated by applying conversion factors in Scope 2 "UK electricity for EVs", Scope 3 "UK electricity T&amp;D for EVs" and "WTT- pass vehs &amp; travel- land".
</t>
    </r>
    <r>
      <rPr>
        <i/>
        <sz val="14"/>
        <color rgb="FF053D5F"/>
        <rFont val="Calibri"/>
        <family val="2"/>
        <scheme val="minor"/>
      </rPr>
      <t>Note</t>
    </r>
    <r>
      <rPr>
        <sz val="14"/>
        <color rgb="FF053D5F"/>
        <rFont val="Calibri"/>
        <family val="2"/>
        <scheme val="minor"/>
      </rPr>
      <t>: If the PHEVs are mostly charged in an organisation's sites, care should be taken to avoid double counting with an organisation's general electricity consumption.</t>
    </r>
  </si>
  <si>
    <r>
      <rPr>
        <i/>
        <sz val="14"/>
        <color indexed="56"/>
        <rFont val="Calibri"/>
        <family val="2"/>
      </rPr>
      <t>Note:</t>
    </r>
    <r>
      <rPr>
        <sz val="14"/>
        <color indexed="56"/>
        <rFont val="Calibri"/>
        <family val="2"/>
      </rPr>
      <t xml:space="preserve"> The Plug-in Hybrid Electric Vehicle category also includes Range-Extended Electric Vehicles (also known as REEVs, ER-EVs or REX).</t>
    </r>
  </si>
  <si>
    <r>
      <t xml:space="preserve">At the moment there are only a limited number of electric vehicle models on the market, and certain categories are not yet represented </t>
    </r>
    <r>
      <rPr>
        <b/>
        <sz val="14"/>
        <color indexed="56"/>
        <rFont val="Calibri"/>
        <family val="2"/>
      </rPr>
      <t>by battery electric vehicle or plug-in hybrid electric vehicles</t>
    </r>
    <r>
      <rPr>
        <sz val="14"/>
        <color indexed="56"/>
        <rFont val="Calibri"/>
        <family val="2"/>
      </rPr>
      <t>.  Emission factors will be added in future updates for these vehicle types, when models in these categories become available in the UK market/fleet.</t>
    </r>
  </si>
  <si>
    <r>
      <t>Are the radiative forcing effects of non-CO</t>
    </r>
    <r>
      <rPr>
        <b/>
        <vertAlign val="subscript"/>
        <sz val="14"/>
        <color rgb="FF053D5F"/>
        <rFont val="Calibri"/>
        <family val="2"/>
        <scheme val="minor"/>
      </rPr>
      <t>2</t>
    </r>
    <r>
      <rPr>
        <b/>
        <sz val="14"/>
        <color rgb="FF053D5F"/>
        <rFont val="Calibri"/>
        <family val="2"/>
        <scheme val="minor"/>
      </rPr>
      <t xml:space="preserve"> emissions considered?</t>
    </r>
  </si>
  <si>
    <r>
      <t>Table 13.2    Emissions of greenhouse gases by type of transport allocated to Scotland (MtCO</t>
    </r>
    <r>
      <rPr>
        <b/>
        <vertAlign val="subscript"/>
        <sz val="14"/>
        <color theme="1"/>
        <rFont val="Arial"/>
        <family val="2"/>
      </rPr>
      <t>2</t>
    </r>
    <r>
      <rPr>
        <b/>
        <sz val="14"/>
        <color theme="1"/>
        <rFont val="Arial"/>
        <family val="2"/>
      </rPr>
      <t>e)</t>
    </r>
  </si>
  <si>
    <r>
      <t xml:space="preserve">       Other road </t>
    </r>
    <r>
      <rPr>
        <vertAlign val="superscript"/>
        <sz val="14"/>
        <rFont val="Arial"/>
        <family val="2"/>
      </rPr>
      <t>2</t>
    </r>
  </si>
  <si>
    <r>
      <t>Road Transportation Total</t>
    </r>
    <r>
      <rPr>
        <b/>
        <vertAlign val="superscript"/>
        <sz val="14"/>
        <rFont val="Arial"/>
        <family val="2"/>
      </rPr>
      <t>1</t>
    </r>
  </si>
  <si>
    <r>
      <t xml:space="preserve">    International Aviation and Shipping </t>
    </r>
    <r>
      <rPr>
        <vertAlign val="superscript"/>
        <sz val="14"/>
        <rFont val="Arial"/>
        <family val="2"/>
      </rPr>
      <t>3</t>
    </r>
  </si>
  <si>
    <r>
      <t xml:space="preserve">    Domestic Aviation </t>
    </r>
    <r>
      <rPr>
        <vertAlign val="superscript"/>
        <sz val="14"/>
        <rFont val="Arial"/>
        <family val="2"/>
      </rPr>
      <t>3</t>
    </r>
  </si>
  <si>
    <r>
      <t xml:space="preserve">    Domestic Shipping and Maritime </t>
    </r>
    <r>
      <rPr>
        <vertAlign val="superscript"/>
        <sz val="14"/>
        <rFont val="Arial"/>
        <family val="2"/>
      </rPr>
      <t>3</t>
    </r>
  </si>
  <si>
    <r>
      <t>Non-transport net emissions</t>
    </r>
    <r>
      <rPr>
        <b/>
        <vertAlign val="superscript"/>
        <sz val="14"/>
        <rFont val="Arial"/>
        <family val="2"/>
      </rPr>
      <t xml:space="preserve"> </t>
    </r>
  </si>
  <si>
    <r>
      <t xml:space="preserve">Net emissions all sources </t>
    </r>
    <r>
      <rPr>
        <b/>
        <vertAlign val="superscript"/>
        <sz val="14"/>
        <rFont val="Arial"/>
        <family val="2"/>
      </rPr>
      <t>4</t>
    </r>
  </si>
  <si>
    <r>
      <t xml:space="preserve">Total net emissions attributed to transport (%) </t>
    </r>
    <r>
      <rPr>
        <b/>
        <vertAlign val="superscript"/>
        <sz val="14"/>
        <rFont val="Arial"/>
        <family val="2"/>
      </rPr>
      <t>4</t>
    </r>
  </si>
  <si>
    <r>
      <rPr>
        <b/>
        <sz val="14"/>
        <color theme="1"/>
        <rFont val="Arial"/>
        <family val="2"/>
      </rPr>
      <t>Source:</t>
    </r>
    <r>
      <rPr>
        <sz val="14"/>
        <color theme="1"/>
        <rFont val="Arial"/>
        <family val="2"/>
      </rPr>
      <t xml:space="preserve"> National Atmospheric Emissions Inventory: Greenhouse Gas Inventories for England, Scotland, Wales &amp; Northern Ireland 1990-2020, some headings are own aggregations - </t>
    </r>
    <r>
      <rPr>
        <b/>
        <sz val="14"/>
        <color theme="1"/>
        <rFont val="Arial"/>
        <family val="2"/>
      </rPr>
      <t>Not National Statistics</t>
    </r>
  </si>
  <si>
    <r>
      <t xml:space="preserve">Crown and exempt </t>
    </r>
    <r>
      <rPr>
        <vertAlign val="superscript"/>
        <sz val="14"/>
        <rFont val="Arial"/>
        <family val="2"/>
      </rPr>
      <t>1</t>
    </r>
  </si>
  <si>
    <r>
      <t xml:space="preserve">Other vehicles </t>
    </r>
    <r>
      <rPr>
        <vertAlign val="superscript"/>
        <sz val="14"/>
        <rFont val="Arial"/>
        <family val="2"/>
      </rPr>
      <t>1</t>
    </r>
  </si>
  <si>
    <r>
      <t xml:space="preserve">Light goods </t>
    </r>
    <r>
      <rPr>
        <vertAlign val="superscript"/>
        <sz val="14"/>
        <rFont val="Arial"/>
        <family val="2"/>
      </rPr>
      <t>2</t>
    </r>
  </si>
  <si>
    <r>
      <t xml:space="preserve">Goods </t>
    </r>
    <r>
      <rPr>
        <vertAlign val="superscript"/>
        <sz val="14"/>
        <rFont val="Arial"/>
        <family val="2"/>
      </rPr>
      <t>2</t>
    </r>
  </si>
  <si>
    <r>
      <t>by method of propulsion</t>
    </r>
    <r>
      <rPr>
        <b/>
        <vertAlign val="superscript"/>
        <sz val="14"/>
        <rFont val="Arial"/>
        <family val="2"/>
      </rPr>
      <t xml:space="preserve"> </t>
    </r>
  </si>
  <si>
    <t>Table 1.2 in Datasets Section: "View Chapter01 - Road Transport Vehicles - 2020"</t>
  </si>
  <si>
    <t>page 1017, Table 7.15. GWP 20 for N2O (i.e., the impact over 20 years- a value of 273) has been chosen as it is more appropriate given the time frame of up to 2050. Currently, estimates for GWP 100 for N2O is equivalent to estimates for GWP 20.</t>
  </si>
  <si>
    <t>Table (i) Weighting of Bus &amp; Train Journeys</t>
  </si>
  <si>
    <t>(Table TD2a taken from Tatis 2021)</t>
  </si>
  <si>
    <t>(Table TD4c taken from Tatis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</si>
</sst>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quot;£&quot;* #,##0.00_-;_-&quot;£&quot;* &quot;-&quot;??_-;_-@_-"/>
    <numFmt numFmtId="43" formatCode="_-* #,##0.00_-;\-* #,##0.00_-;_-* &quot;-&quot;??_-;_-@_-"/>
    <numFmt numFmtId="164" formatCode="0.0"/>
    <numFmt numFmtId="165" formatCode="_-* #,##0_-;\-* #,##0_-;_-* &quot;-&quot;??_-;_-@_-"/>
    <numFmt numFmtId="166" formatCode="_(* #,##0_);_(* \(#,##0\);_(* &quot;-&quot;??_);_(@_)"/>
    <numFmt numFmtId="167" formatCode="0.0%"/>
    <numFmt numFmtId="168" formatCode="#,##0.0"/>
    <numFmt numFmtId="169" formatCode="[&gt;0.5]#,##0;[&lt;-0.5]\-#,##0;\-"/>
    <numFmt numFmtId="170" formatCode="[&gt;=100]#,##0,;[&lt;100]&quot;-&quot;;General"/>
    <numFmt numFmtId="171" formatCode="[&gt;=0.5]#,##0;[=0]0;&quot;~&quot;"/>
    <numFmt numFmtId="172" formatCode="0.000"/>
    <numFmt numFmtId="173" formatCode="0_)"/>
    <numFmt numFmtId="174" formatCode="0.0_)"/>
    <numFmt numFmtId="175" formatCode="#,##0_);\-#,##0_)"/>
    <numFmt numFmtId="176" formatCode="&quot; &quot;#,##0.00&quot; &quot;;&quot;-&quot;#,##0.00&quot; &quot;;&quot; -&quot;00&quot; &quot;;&quot; &quot;@&quot; &quot;"/>
    <numFmt numFmtId="177" formatCode="#,##0.00000000"/>
    <numFmt numFmtId="178" formatCode="??0.0?????"/>
    <numFmt numFmtId="179" formatCode="??0.0????"/>
    <numFmt numFmtId="180" formatCode="0.00000"/>
    <numFmt numFmtId="181" formatCode="??0.00000"/>
    <numFmt numFmtId="182" formatCode="0.000_ "/>
  </numFmts>
  <fonts count="119"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b/>
      <sz val="12"/>
      <name val="Arial"/>
      <family val="2"/>
    </font>
    <font>
      <sz val="9"/>
      <color indexed="81"/>
      <name val="Tahoma"/>
      <family val="2"/>
    </font>
    <font>
      <sz val="10"/>
      <name val="Arial"/>
      <family val="2"/>
    </font>
    <font>
      <u/>
      <sz val="7.5"/>
      <color indexed="12"/>
      <name val="Arial"/>
      <family val="2"/>
    </font>
    <font>
      <sz val="10"/>
      <name val="Times New Roman"/>
      <family val="1"/>
    </font>
    <font>
      <b/>
      <sz val="15"/>
      <color theme="3"/>
      <name val="Arial"/>
      <family val="2"/>
    </font>
    <font>
      <u/>
      <sz val="10"/>
      <color indexed="12"/>
      <name val="MS Sans Serif"/>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name val="Arial"/>
      <family val="2"/>
    </font>
    <font>
      <b/>
      <sz val="14"/>
      <name val="Arial"/>
      <family val="2"/>
    </font>
    <font>
      <sz val="10"/>
      <color rgb="FF000000"/>
      <name val="Arial"/>
      <family val="2"/>
    </font>
    <font>
      <sz val="11"/>
      <color rgb="FF000000"/>
      <name val="Calibri"/>
      <family val="2"/>
    </font>
    <font>
      <sz val="10"/>
      <name val="Courier"/>
      <family val="3"/>
    </font>
    <font>
      <u/>
      <sz val="10"/>
      <color indexed="12"/>
      <name val="Arial"/>
      <family val="2"/>
    </font>
    <font>
      <sz val="10"/>
      <name val="MS Sans Serif"/>
      <family val="2"/>
    </font>
    <font>
      <u/>
      <sz val="11"/>
      <color theme="10"/>
      <name val="Calibri"/>
      <family val="2"/>
    </font>
    <font>
      <sz val="11"/>
      <color rgb="FF9C6500"/>
      <name val="Calibri"/>
      <family val="2"/>
      <scheme val="minor"/>
    </font>
    <font>
      <b/>
      <sz val="14"/>
      <color rgb="FF000000"/>
      <name val="Arial"/>
      <family val="2"/>
    </font>
    <font>
      <u/>
      <sz val="10"/>
      <color theme="10"/>
      <name val="Arial"/>
      <family val="2"/>
    </font>
    <font>
      <sz val="7"/>
      <color rgb="FF000000"/>
      <name val="Arial"/>
      <family val="2"/>
    </font>
    <font>
      <b/>
      <sz val="10"/>
      <color rgb="FF000000"/>
      <name val="Arial"/>
      <family val="2"/>
    </font>
    <font>
      <b/>
      <sz val="15"/>
      <color rgb="FF000000"/>
      <name val="Calibri"/>
      <family val="2"/>
    </font>
    <font>
      <b/>
      <sz val="13"/>
      <color rgb="FF000000"/>
      <name val="Calibri"/>
      <family val="2"/>
    </font>
    <font>
      <b/>
      <sz val="11"/>
      <color rgb="FF000000"/>
      <name val="Calibri"/>
      <family val="2"/>
    </font>
    <font>
      <u/>
      <sz val="10"/>
      <color rgb="FF0000FF"/>
      <name val="Arial"/>
      <family val="2"/>
    </font>
    <font>
      <u/>
      <sz val="11"/>
      <color rgb="FF0000FF"/>
      <name val="Calibri"/>
      <family val="2"/>
    </font>
    <font>
      <u/>
      <sz val="11"/>
      <color rgb="FF0563C1"/>
      <name val="Calibri"/>
      <family val="2"/>
    </font>
    <font>
      <u/>
      <sz val="10"/>
      <color rgb="FF0563C1"/>
      <name val="Arial"/>
      <family val="2"/>
    </font>
    <font>
      <sz val="8"/>
      <color indexed="81"/>
      <name val="Tahoma"/>
      <family val="2"/>
    </font>
    <font>
      <b/>
      <sz val="8"/>
      <name val="Tahoma"/>
      <family val="2"/>
    </font>
    <font>
      <u/>
      <sz val="10"/>
      <color rgb="FF800080"/>
      <name val="Arial"/>
      <family val="2"/>
    </font>
    <font>
      <sz val="11"/>
      <color indexed="8"/>
      <name val="Calibri"/>
      <family val="2"/>
    </font>
    <font>
      <sz val="11"/>
      <color rgb="FF000000"/>
      <name val="Calibri"/>
      <family val="2"/>
      <scheme val="minor"/>
    </font>
    <font>
      <i/>
      <sz val="11"/>
      <color rgb="FF000000"/>
      <name val="Calibri"/>
      <family val="2"/>
      <scheme val="minor"/>
    </font>
    <font>
      <b/>
      <sz val="16"/>
      <name val="Arial"/>
      <family val="2"/>
    </font>
    <font>
      <sz val="14"/>
      <name val="Arial"/>
      <family val="2"/>
    </font>
    <font>
      <u/>
      <sz val="12"/>
      <color theme="10"/>
      <name val="Arial"/>
      <family val="2"/>
    </font>
    <font>
      <u/>
      <sz val="12"/>
      <color indexed="12"/>
      <name val="Arial"/>
      <family val="2"/>
    </font>
    <font>
      <b/>
      <sz val="14"/>
      <color theme="1"/>
      <name val="Calibri"/>
      <family val="2"/>
      <scheme val="minor"/>
    </font>
    <font>
      <sz val="14"/>
      <color theme="1"/>
      <name val="Calibri"/>
      <family val="2"/>
      <scheme val="minor"/>
    </font>
    <font>
      <sz val="14"/>
      <color theme="1"/>
      <name val="Arial"/>
      <family val="2"/>
    </font>
    <font>
      <vertAlign val="subscript"/>
      <sz val="14"/>
      <color theme="1"/>
      <name val="Calibri"/>
      <family val="2"/>
      <scheme val="minor"/>
    </font>
    <font>
      <b/>
      <sz val="14"/>
      <color theme="9"/>
      <name val="Calibri"/>
      <family val="2"/>
      <scheme val="minor"/>
    </font>
    <font>
      <b/>
      <vertAlign val="subscript"/>
      <sz val="14"/>
      <name val="Arial"/>
      <family val="2"/>
    </font>
    <font>
      <b/>
      <vertAlign val="subscript"/>
      <sz val="14"/>
      <color theme="1"/>
      <name val="Calibri"/>
      <family val="2"/>
      <scheme val="minor"/>
    </font>
    <font>
      <sz val="14"/>
      <color theme="9"/>
      <name val="Calibri"/>
      <family val="2"/>
      <scheme val="minor"/>
    </font>
    <font>
      <sz val="14"/>
      <name val="Calibri"/>
      <family val="2"/>
      <scheme val="minor"/>
    </font>
    <font>
      <u/>
      <sz val="14"/>
      <color theme="10"/>
      <name val="Calibri"/>
      <family val="2"/>
      <scheme val="minor"/>
    </font>
    <font>
      <b/>
      <sz val="14"/>
      <color theme="1"/>
      <name val="Arial"/>
      <family val="2"/>
    </font>
    <font>
      <b/>
      <sz val="14"/>
      <color theme="9"/>
      <name val="Arial"/>
      <family val="2"/>
    </font>
    <font>
      <i/>
      <sz val="14"/>
      <name val="Arial"/>
      <family val="2"/>
    </font>
    <font>
      <sz val="14"/>
      <color theme="9"/>
      <name val="Arial"/>
      <family val="2"/>
    </font>
    <font>
      <sz val="14"/>
      <color indexed="8"/>
      <name val="Arial"/>
      <family val="2"/>
    </font>
    <font>
      <b/>
      <vertAlign val="subscript"/>
      <sz val="14"/>
      <color theme="9"/>
      <name val="Arial"/>
      <family val="2"/>
    </font>
    <font>
      <b/>
      <vertAlign val="subscript"/>
      <sz val="14"/>
      <color theme="9"/>
      <name val="Calibri"/>
      <family val="2"/>
      <scheme val="minor"/>
    </font>
    <font>
      <i/>
      <sz val="14"/>
      <color theme="9"/>
      <name val="Arial"/>
      <family val="2"/>
    </font>
    <font>
      <b/>
      <vertAlign val="superscript"/>
      <sz val="14"/>
      <color theme="1"/>
      <name val="Calibri"/>
      <family val="2"/>
      <scheme val="minor"/>
    </font>
    <font>
      <vertAlign val="superscript"/>
      <sz val="14"/>
      <name val="Arial"/>
      <family val="2"/>
    </font>
    <font>
      <sz val="14"/>
      <color rgb="FF002060"/>
      <name val="Calibri"/>
      <family val="2"/>
      <scheme val="minor"/>
    </font>
    <font>
      <vertAlign val="subscript"/>
      <sz val="14"/>
      <color rgb="FF002060"/>
      <name val="Calibri"/>
      <family val="2"/>
      <scheme val="minor"/>
    </font>
    <font>
      <vertAlign val="subscript"/>
      <sz val="14"/>
      <name val="Calibri"/>
      <family val="2"/>
      <scheme val="minor"/>
    </font>
    <font>
      <i/>
      <sz val="14"/>
      <name val="Calibri"/>
      <family val="2"/>
      <scheme val="minor"/>
    </font>
    <font>
      <b/>
      <sz val="14"/>
      <name val="Calibri"/>
      <family val="2"/>
      <scheme val="minor"/>
    </font>
    <font>
      <u/>
      <sz val="14"/>
      <color theme="10"/>
      <name val="Calibri"/>
      <family val="2"/>
    </font>
    <font>
      <b/>
      <sz val="14"/>
      <color rgb="FF053D5F"/>
      <name val="Calibri"/>
      <family val="2"/>
      <scheme val="minor"/>
    </font>
    <font>
      <sz val="14"/>
      <color rgb="FF053D5F"/>
      <name val="Calibri"/>
      <family val="2"/>
      <scheme val="minor"/>
    </font>
    <font>
      <b/>
      <u/>
      <sz val="14"/>
      <color rgb="FF053D5F"/>
      <name val="Calibri"/>
      <family val="2"/>
      <scheme val="minor"/>
    </font>
    <font>
      <i/>
      <sz val="14"/>
      <color indexed="56"/>
      <name val="Calibri"/>
      <family val="2"/>
    </font>
    <font>
      <sz val="14"/>
      <color indexed="56"/>
      <name val="Calibri"/>
      <family val="2"/>
    </font>
    <font>
      <u/>
      <sz val="14"/>
      <color rgb="FF002060"/>
      <name val="Calibri"/>
      <family val="2"/>
    </font>
    <font>
      <vertAlign val="subscript"/>
      <sz val="14"/>
      <color indexed="56"/>
      <name val="Calibri"/>
      <family val="2"/>
    </font>
    <font>
      <u/>
      <sz val="14"/>
      <color indexed="12"/>
      <name val="Calibri"/>
      <family val="2"/>
    </font>
    <font>
      <u/>
      <sz val="14"/>
      <color indexed="56"/>
      <name val="Calibri"/>
      <family val="2"/>
    </font>
    <font>
      <sz val="14"/>
      <color theme="8" tint="-0.499984740745262"/>
      <name val="Calibri"/>
      <family val="2"/>
      <scheme val="minor"/>
    </font>
    <font>
      <b/>
      <u/>
      <sz val="14"/>
      <color theme="1"/>
      <name val="Calibri"/>
      <family val="2"/>
      <scheme val="minor"/>
    </font>
    <font>
      <sz val="14"/>
      <color rgb="FFFF0000"/>
      <name val="Arial"/>
      <family val="2"/>
    </font>
    <font>
      <i/>
      <sz val="14"/>
      <color rgb="FF053D5F"/>
      <name val="Calibri"/>
      <family val="2"/>
      <scheme val="minor"/>
    </font>
    <font>
      <i/>
      <sz val="14"/>
      <color rgb="FFFF0000"/>
      <name val="Calibri"/>
      <family val="2"/>
      <scheme val="minor"/>
    </font>
    <font>
      <i/>
      <vertAlign val="subscript"/>
      <sz val="14"/>
      <color rgb="FFFF0000"/>
      <name val="Calibri"/>
      <family val="2"/>
      <scheme val="minor"/>
    </font>
    <font>
      <b/>
      <vertAlign val="subscript"/>
      <sz val="14"/>
      <color indexed="56"/>
      <name val="Calibri"/>
      <family val="2"/>
    </font>
    <font>
      <b/>
      <sz val="14"/>
      <color indexed="56"/>
      <name val="Calibri"/>
      <family val="2"/>
    </font>
    <font>
      <b/>
      <i/>
      <sz val="14"/>
      <color theme="4" tint="-0.499984740745262"/>
      <name val="Calibri"/>
      <family val="2"/>
      <scheme val="minor"/>
    </font>
    <font>
      <i/>
      <sz val="14"/>
      <color rgb="FF002060"/>
      <name val="Calibri"/>
      <family val="2"/>
      <scheme val="minor"/>
    </font>
    <font>
      <b/>
      <sz val="14"/>
      <color rgb="FF002060"/>
      <name val="Calibri"/>
      <family val="2"/>
      <scheme val="minor"/>
    </font>
    <font>
      <b/>
      <i/>
      <sz val="14"/>
      <color indexed="56"/>
      <name val="Calibri"/>
      <family val="2"/>
    </font>
    <font>
      <b/>
      <u/>
      <sz val="14"/>
      <color indexed="56"/>
      <name val="Calibri"/>
      <family val="2"/>
    </font>
    <font>
      <b/>
      <i/>
      <sz val="14"/>
      <color rgb="FF002060"/>
      <name val="Calibri"/>
      <family val="2"/>
      <scheme val="minor"/>
    </font>
    <font>
      <vertAlign val="subscript"/>
      <sz val="14"/>
      <color rgb="FF053D5F"/>
      <name val="Calibri"/>
      <family val="2"/>
      <scheme val="minor"/>
    </font>
    <font>
      <u/>
      <sz val="14"/>
      <color rgb="FF053D5F"/>
      <name val="Calibri"/>
      <family val="2"/>
      <scheme val="minor"/>
    </font>
    <font>
      <b/>
      <vertAlign val="subscript"/>
      <sz val="14"/>
      <color rgb="FF053D5F"/>
      <name val="Calibri"/>
      <family val="2"/>
      <scheme val="minor"/>
    </font>
    <font>
      <b/>
      <vertAlign val="subscript"/>
      <sz val="14"/>
      <color theme="1"/>
      <name val="Arial"/>
      <family val="2"/>
    </font>
    <font>
      <sz val="14"/>
      <color rgb="FF000000"/>
      <name val="Arial"/>
      <family val="2"/>
    </font>
    <font>
      <b/>
      <vertAlign val="superscript"/>
      <sz val="14"/>
      <name val="Arial"/>
      <family val="2"/>
    </font>
    <font>
      <sz val="14"/>
      <color rgb="FF0000FF"/>
      <name val="Arial"/>
      <family val="2"/>
    </font>
    <font>
      <u/>
      <sz val="14"/>
      <color indexed="12"/>
      <name val="Arial"/>
      <family val="2"/>
    </font>
    <font>
      <i/>
      <sz val="14"/>
      <color rgb="FF000000"/>
      <name val="Arial"/>
      <family val="2"/>
    </font>
    <font>
      <i/>
      <sz val="14"/>
      <color theme="1"/>
      <name val="Arial"/>
      <family val="2"/>
    </font>
    <font>
      <sz val="14"/>
      <color theme="4"/>
      <name val="Calibri"/>
      <family val="2"/>
      <scheme val="minor"/>
    </font>
    <font>
      <sz val="14"/>
      <name val="Calibri"/>
      <family val="2"/>
    </font>
    <font>
      <u/>
      <sz val="14"/>
      <name val="Arial"/>
      <family val="2"/>
    </font>
    <font>
      <sz val="14"/>
      <color indexed="12"/>
      <name val="Calibri"/>
      <family val="2"/>
      <scheme val="minor"/>
    </font>
    <font>
      <b/>
      <sz val="14"/>
      <color theme="3"/>
      <name val="Calibri"/>
      <family val="2"/>
      <scheme val="minor"/>
    </font>
  </fonts>
  <fills count="61">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theme="4" tint="0.79998168889431442"/>
      </patternFill>
    </fill>
    <fill>
      <patternFill patternType="solid">
        <fgColor indexed="65"/>
        <bgColor indexed="64"/>
      </patternFill>
    </fill>
    <fill>
      <patternFill patternType="solid">
        <fgColor rgb="FFFFFF99"/>
        <bgColor rgb="FFFFFF99"/>
      </patternFill>
    </fill>
    <fill>
      <patternFill patternType="solid">
        <fgColor rgb="FF99CCFF"/>
        <bgColor rgb="FF99CCFF"/>
      </patternFill>
    </fill>
    <fill>
      <patternFill patternType="solid">
        <fgColor rgb="FF800080"/>
        <bgColor rgb="FF800080"/>
      </patternFill>
    </fill>
    <fill>
      <patternFill patternType="solid">
        <fgColor rgb="FFFFFFCC"/>
        <b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9D9D9"/>
        <bgColor indexed="64"/>
      </patternFill>
    </fill>
    <fill>
      <patternFill patternType="lightGray">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59999389629810485"/>
        <bgColor indexed="64"/>
      </patternFill>
    </fill>
  </fills>
  <borders count="108">
    <border>
      <left/>
      <right/>
      <top/>
      <bottom/>
      <diagonal/>
    </border>
    <border>
      <left style="thin">
        <color theme="0"/>
      </left>
      <right style="thin">
        <color theme="0"/>
      </right>
      <top style="thin">
        <color theme="0"/>
      </top>
      <bottom style="thin">
        <color theme="0"/>
      </bottom>
      <diagonal/>
    </border>
    <border>
      <left/>
      <right/>
      <top/>
      <bottom style="thick">
        <color theme="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theme="4" tint="0.39997558519241921"/>
      </bottom>
      <diagonal/>
    </border>
    <border>
      <left/>
      <right/>
      <top style="thin">
        <color theme="4"/>
      </top>
      <bottom style="thin">
        <color theme="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right style="thin">
        <color theme="0"/>
      </right>
      <top/>
      <bottom style="thin">
        <color indexed="64"/>
      </bottom>
      <diagonal/>
    </border>
    <border>
      <left style="thin">
        <color theme="0"/>
      </left>
      <right style="thin">
        <color theme="0"/>
      </right>
      <top/>
      <bottom/>
      <diagonal/>
    </border>
    <border>
      <left/>
      <right style="mediumDashed">
        <color indexed="64"/>
      </right>
      <top/>
      <bottom style="thin">
        <color indexed="64"/>
      </bottom>
      <diagonal/>
    </border>
    <border>
      <left/>
      <right style="mediumDashed">
        <color indexed="64"/>
      </right>
      <top/>
      <bottom/>
      <diagonal/>
    </border>
    <border>
      <left/>
      <right style="mediumDashed">
        <color indexed="64"/>
      </right>
      <top/>
      <bottom style="medium">
        <color indexed="64"/>
      </bottom>
      <diagonal/>
    </border>
    <border>
      <left style="thin">
        <color theme="0"/>
      </left>
      <right/>
      <top/>
      <bottom style="mediumDashed">
        <color indexed="64"/>
      </bottom>
      <diagonal/>
    </border>
    <border>
      <left/>
      <right/>
      <top/>
      <bottom style="mediumDashed">
        <color indexed="64"/>
      </bottom>
      <diagonal/>
    </border>
    <border>
      <left/>
      <right style="thin">
        <color theme="0"/>
      </right>
      <top/>
      <bottom style="mediumDashed">
        <color indexed="64"/>
      </bottom>
      <diagonal/>
    </border>
    <border>
      <left style="thin">
        <color theme="0"/>
      </left>
      <right style="thin">
        <color theme="0"/>
      </right>
      <top style="mediumDashed">
        <color indexed="64"/>
      </top>
      <bottom/>
      <diagonal/>
    </border>
    <border>
      <left/>
      <right/>
      <top style="mediumDashed">
        <color indexed="64"/>
      </top>
      <bottom/>
      <diagonal/>
    </border>
    <border>
      <left/>
      <right style="thin">
        <color theme="0"/>
      </right>
      <top style="mediumDashed">
        <color indexed="64"/>
      </top>
      <bottom/>
      <diagonal/>
    </border>
    <border>
      <left/>
      <right style="mediumDashed">
        <color indexed="64"/>
      </right>
      <top style="thin">
        <color indexed="64"/>
      </top>
      <bottom/>
      <diagonal/>
    </border>
    <border>
      <left/>
      <right style="mediumDashed">
        <color indexed="64"/>
      </right>
      <top style="medium">
        <color indexed="64"/>
      </top>
      <bottom style="thin">
        <color indexed="64"/>
      </bottom>
      <diagonal/>
    </border>
    <border>
      <left style="thin">
        <color rgb="FF000000"/>
      </left>
      <right style="thin">
        <color rgb="FF000000"/>
      </right>
      <top/>
      <bottom/>
      <diagonal/>
    </border>
    <border>
      <left/>
      <right/>
      <top style="thin">
        <color rgb="FF000000"/>
      </top>
      <bottom style="thin">
        <color rgb="FF000000"/>
      </bottom>
      <diagonal/>
    </border>
    <border>
      <left/>
      <right style="mediumDashed">
        <color indexed="64"/>
      </right>
      <top style="medium">
        <color indexed="64"/>
      </top>
      <bottom/>
      <diagonal/>
    </border>
    <border>
      <left style="thick">
        <color rgb="FF053D5F"/>
      </left>
      <right style="thin">
        <color rgb="FF053D5F"/>
      </right>
      <top style="thick">
        <color rgb="FF053D5F"/>
      </top>
      <bottom style="thin">
        <color rgb="FF053D5F"/>
      </bottom>
      <diagonal/>
    </border>
    <border>
      <left style="thin">
        <color rgb="FF053D5F"/>
      </left>
      <right style="thick">
        <color rgb="FF053D5F"/>
      </right>
      <top style="thick">
        <color rgb="FF053D5F"/>
      </top>
      <bottom style="thin">
        <color rgb="FF053D5F"/>
      </bottom>
      <diagonal/>
    </border>
    <border>
      <left style="thick">
        <color rgb="FF053D5F"/>
      </left>
      <right style="thin">
        <color rgb="FF053D5F"/>
      </right>
      <top style="thin">
        <color rgb="FF053D5F"/>
      </top>
      <bottom style="thick">
        <color rgb="FF053D5F"/>
      </bottom>
      <diagonal/>
    </border>
    <border>
      <left style="thin">
        <color rgb="FF053D5F"/>
      </left>
      <right style="thick">
        <color rgb="FF053D5F"/>
      </right>
      <top style="thin">
        <color rgb="FF053D5F"/>
      </top>
      <bottom style="thick">
        <color rgb="FF053D5F"/>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rgb="FF053D5F"/>
      </left>
      <right style="thin">
        <color rgb="FF053D5F"/>
      </right>
      <top style="thin">
        <color rgb="FF053D5F"/>
      </top>
      <bottom style="thin">
        <color rgb="FF053D5F"/>
      </bottom>
      <diagonal/>
    </border>
    <border>
      <left style="thin">
        <color rgb="FF053D5F"/>
      </left>
      <right/>
      <top style="thin">
        <color indexed="64"/>
      </top>
      <bottom style="thin">
        <color indexed="64"/>
      </bottom>
      <diagonal/>
    </border>
    <border>
      <left/>
      <right style="thin">
        <color rgb="FF053D5F"/>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theme="0"/>
      </left>
      <right style="thin">
        <color theme="0"/>
      </right>
      <top style="medium">
        <color indexed="64"/>
      </top>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diagonal/>
    </border>
    <border>
      <left/>
      <right style="medium">
        <color indexed="64"/>
      </right>
      <top style="medium">
        <color indexed="64"/>
      </top>
      <bottom style="thin">
        <color indexed="64"/>
      </bottom>
      <diagonal/>
    </border>
    <border>
      <left style="thin">
        <color theme="0"/>
      </left>
      <right/>
      <top style="medium">
        <color indexed="64"/>
      </top>
      <bottom/>
      <diagonal/>
    </border>
    <border>
      <left style="medium">
        <color indexed="64"/>
      </left>
      <right style="thin">
        <color theme="0"/>
      </right>
      <top/>
      <bottom style="thin">
        <color theme="0"/>
      </bottom>
      <diagonal/>
    </border>
    <border>
      <left style="medium">
        <color indexed="64"/>
      </left>
      <right style="thin">
        <color theme="0"/>
      </right>
      <top style="thin">
        <color theme="0"/>
      </top>
      <bottom style="mediumDashed">
        <color indexed="64"/>
      </bottom>
      <diagonal/>
    </border>
    <border>
      <left style="medium">
        <color indexed="64"/>
      </left>
      <right style="thin">
        <color theme="0"/>
      </right>
      <top style="mediumDashed">
        <color indexed="64"/>
      </top>
      <bottom/>
      <diagonal/>
    </border>
    <border>
      <left style="thin">
        <color theme="0"/>
      </left>
      <right style="medium">
        <color indexed="64"/>
      </right>
      <top style="medium">
        <color indexed="64"/>
      </top>
      <bottom/>
      <diagonal/>
    </border>
    <border>
      <left/>
      <right style="medium">
        <color indexed="64"/>
      </right>
      <top/>
      <bottom style="mediumDashed">
        <color indexed="64"/>
      </bottom>
      <diagonal/>
    </border>
    <border>
      <left style="thin">
        <color theme="0"/>
      </left>
      <right style="medium">
        <color indexed="64"/>
      </right>
      <top style="mediumDashed">
        <color indexed="64"/>
      </top>
      <bottom/>
      <diagonal/>
    </border>
    <border>
      <left style="medium">
        <color indexed="64"/>
      </left>
      <right style="thin">
        <color theme="0"/>
      </right>
      <top/>
      <bottom style="medium">
        <color indexed="64"/>
      </bottom>
      <diagonal/>
    </border>
    <border>
      <left style="thin">
        <color theme="0"/>
      </left>
      <right style="medium">
        <color indexed="64"/>
      </right>
      <top/>
      <bottom/>
      <diagonal/>
    </border>
    <border>
      <left/>
      <right style="medium">
        <color indexed="64"/>
      </right>
      <top style="thin">
        <color indexed="64"/>
      </top>
      <bottom style="medium">
        <color indexed="64"/>
      </bottom>
      <diagonal/>
    </border>
  </borders>
  <cellStyleXfs count="248">
    <xf numFmtId="0" fontId="0" fillId="0" borderId="0"/>
    <xf numFmtId="43" fontId="1" fillId="0" borderId="0" applyFont="0" applyFill="0" applyBorder="0" applyAlignment="0" applyProtection="0"/>
    <xf numFmtId="0" fontId="3" fillId="0" borderId="0" applyNumberFormat="0" applyFill="0" applyBorder="0" applyAlignment="0" applyProtection="0"/>
    <xf numFmtId="0" fontId="4" fillId="0" borderId="0"/>
    <xf numFmtId="9" fontId="1" fillId="0" borderId="0" applyFont="0" applyFill="0" applyBorder="0" applyAlignment="0" applyProtection="0"/>
    <xf numFmtId="0" fontId="7" fillId="0" borderId="0">
      <alignment vertical="top"/>
    </xf>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0" fontId="8" fillId="0" borderId="0" applyNumberFormat="0" applyFill="0" applyBorder="0" applyAlignment="0" applyProtection="0">
      <alignment vertical="top"/>
      <protection locked="0"/>
    </xf>
    <xf numFmtId="0" fontId="7" fillId="0" borderId="0"/>
    <xf numFmtId="0" fontId="7" fillId="0" borderId="0">
      <alignment vertical="top"/>
    </xf>
    <xf numFmtId="0" fontId="7" fillId="0" borderId="0">
      <alignment vertical="top"/>
    </xf>
    <xf numFmtId="0" fontId="7" fillId="0" borderId="0">
      <alignment vertical="top"/>
    </xf>
    <xf numFmtId="9" fontId="7" fillId="0" borderId="0" applyFont="0" applyFill="0" applyBorder="0" applyAlignment="0" applyProtection="0"/>
    <xf numFmtId="169" fontId="9" fillId="0" borderId="0" applyFill="0" applyBorder="0" applyAlignment="0" applyProtection="0"/>
    <xf numFmtId="0" fontId="7" fillId="0" borderId="0">
      <alignment vertical="top"/>
    </xf>
    <xf numFmtId="43" fontId="7" fillId="0" borderId="0" applyFont="0" applyFill="0" applyBorder="0" applyAlignment="0" applyProtection="0"/>
    <xf numFmtId="0" fontId="10" fillId="0" borderId="2" applyNumberFormat="0" applyFill="0" applyAlignment="0" applyProtection="0"/>
    <xf numFmtId="0" fontId="7" fillId="0" borderId="0"/>
    <xf numFmtId="0" fontId="11" fillId="0" borderId="0" applyNumberFormat="0" applyFill="0" applyBorder="0" applyAlignment="0" applyProtection="0"/>
    <xf numFmtId="0" fontId="12" fillId="0" borderId="2" applyNumberFormat="0" applyFill="0" applyAlignment="0" applyProtection="0"/>
    <xf numFmtId="0" fontId="14" fillId="0" borderId="6" applyNumberFormat="0" applyFill="0" applyAlignment="0" applyProtection="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1" fillId="0" borderId="0"/>
    <xf numFmtId="0" fontId="7" fillId="0" borderId="0"/>
    <xf numFmtId="0" fontId="27" fillId="0" borderId="0" applyNumberFormat="0" applyBorder="0" applyProtection="0"/>
    <xf numFmtId="43" fontId="4" fillId="0" borderId="0" applyFont="0" applyFill="0" applyBorder="0" applyAlignment="0" applyProtection="0"/>
    <xf numFmtId="0" fontId="4" fillId="0" borderId="0"/>
    <xf numFmtId="0" fontId="7" fillId="0" borderId="0"/>
    <xf numFmtId="0" fontId="7" fillId="0" borderId="0">
      <alignment vertical="top"/>
    </xf>
    <xf numFmtId="43" fontId="4" fillId="0" borderId="0" applyFont="0" applyFill="0" applyBorder="0" applyAlignment="0" applyProtection="0"/>
    <xf numFmtId="43" fontId="7" fillId="0" borderId="0" applyFont="0" applyFill="0" applyBorder="0" applyAlignment="0" applyProtection="0"/>
    <xf numFmtId="0" fontId="7" fillId="0" borderId="0"/>
    <xf numFmtId="0" fontId="28" fillId="0" borderId="0" applyNumberFormat="0" applyBorder="0" applyProtection="0"/>
    <xf numFmtId="43" fontId="7" fillId="0" borderId="0" applyFont="0" applyFill="0" applyBorder="0" applyAlignment="0" applyProtection="0"/>
    <xf numFmtId="0" fontId="7" fillId="0" borderId="0"/>
    <xf numFmtId="43" fontId="1" fillId="0" borderId="0" applyFont="0" applyFill="0" applyBorder="0" applyAlignment="0" applyProtection="0"/>
    <xf numFmtId="0" fontId="3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 fillId="0" borderId="0"/>
    <xf numFmtId="0" fontId="1" fillId="0" borderId="0"/>
    <xf numFmtId="0" fontId="1" fillId="0" borderId="0"/>
    <xf numFmtId="0" fontId="7" fillId="0" borderId="0"/>
    <xf numFmtId="0" fontId="31" fillId="0" borderId="0"/>
    <xf numFmtId="0" fontId="7" fillId="0" borderId="0"/>
    <xf numFmtId="173" fontId="29" fillId="0" borderId="0"/>
    <xf numFmtId="0" fontId="35"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3" fontId="4" fillId="0" borderId="0" applyFont="0" applyFill="0" applyBorder="0" applyAlignment="0" applyProtection="0"/>
    <xf numFmtId="0" fontId="28" fillId="0" borderId="0"/>
    <xf numFmtId="176" fontId="28"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27" fillId="0" borderId="0" applyNumberFormat="0" applyFill="0" applyBorder="0" applyAlignment="0" applyProtection="0"/>
    <xf numFmtId="0" fontId="3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41" borderId="0" applyNumberFormat="0" applyBorder="0">
      <protection locked="0"/>
    </xf>
    <xf numFmtId="0" fontId="27" fillId="41" borderId="0" applyNumberFormat="0" applyBorder="0">
      <protection locked="0"/>
    </xf>
    <xf numFmtId="0" fontId="27" fillId="41" borderId="0" applyNumberFormat="0" applyBorder="0">
      <protection locked="0"/>
    </xf>
    <xf numFmtId="0" fontId="27" fillId="42" borderId="50" applyNumberFormat="0">
      <alignment horizontal="center" vertical="center"/>
      <protection locked="0"/>
    </xf>
    <xf numFmtId="0" fontId="27" fillId="42" borderId="50" applyNumberFormat="0">
      <alignment horizontal="center" vertical="center"/>
      <protection locked="0"/>
    </xf>
    <xf numFmtId="0" fontId="27" fillId="42" borderId="50" applyNumberFormat="0">
      <alignment horizontal="center" vertical="center"/>
      <protection locked="0"/>
    </xf>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3" fontId="28" fillId="0" borderId="0" applyFont="0" applyFill="0" applyBorder="0" applyAlignment="0" applyProtection="0"/>
    <xf numFmtId="3" fontId="28" fillId="0" borderId="0" applyFont="0" applyFill="0" applyBorder="0" applyAlignment="0" applyProtection="0"/>
    <xf numFmtId="3" fontId="28" fillId="0" borderId="0" applyFont="0" applyFill="0" applyBorder="0" applyAlignment="0" applyProtection="0"/>
    <xf numFmtId="3" fontId="28" fillId="0" borderId="0" applyFont="0" applyFill="0" applyBorder="0" applyAlignment="0" applyProtection="0"/>
    <xf numFmtId="3" fontId="28" fillId="0" borderId="0" applyFont="0" applyFill="0" applyBorder="0" applyAlignment="0" applyProtection="0"/>
    <xf numFmtId="3"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176" fontId="28" fillId="0" borderId="0" applyFont="0" applyFill="0" applyBorder="0" applyAlignment="0" applyProtection="0"/>
    <xf numFmtId="0" fontId="27" fillId="43" borderId="0" applyNumberFormat="0" applyBorder="0">
      <protection locked="0"/>
    </xf>
    <xf numFmtId="0" fontId="27" fillId="43" borderId="0" applyNumberFormat="0" applyBorder="0">
      <protection locked="0"/>
    </xf>
    <xf numFmtId="0" fontId="27" fillId="43" borderId="0" applyNumberFormat="0" applyBorder="0">
      <protection locked="0"/>
    </xf>
    <xf numFmtId="0" fontId="37" fillId="42" borderId="0" applyNumberFormat="0" applyBorder="0">
      <alignment vertical="center"/>
      <protection locked="0"/>
    </xf>
    <xf numFmtId="0" fontId="37" fillId="42" borderId="0" applyNumberFormat="0" applyBorder="0">
      <alignment vertical="center"/>
      <protection locked="0"/>
    </xf>
    <xf numFmtId="0" fontId="37" fillId="0" borderId="0" applyNumberFormat="0" applyBorder="0">
      <protection locked="0"/>
    </xf>
    <xf numFmtId="0" fontId="37" fillId="0" borderId="0" applyNumberFormat="0" applyBorder="0">
      <protection locked="0"/>
    </xf>
    <xf numFmtId="0" fontId="34" fillId="0" borderId="0" applyNumberFormat="0" applyBorder="0">
      <protection locked="0"/>
    </xf>
    <xf numFmtId="0" fontId="34" fillId="0" borderId="0" applyNumberFormat="0" applyBorder="0">
      <protection locked="0"/>
    </xf>
    <xf numFmtId="0" fontId="37" fillId="0" borderId="0" applyNumberFormat="0" applyBorder="0" applyProtection="0"/>
    <xf numFmtId="0" fontId="37" fillId="0" borderId="0" applyNumberFormat="0" applyBorder="0" applyProtection="0"/>
    <xf numFmtId="0" fontId="37" fillId="0" borderId="0" applyNumberFormat="0" applyBorder="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4" fillId="0" borderId="0" applyNumberFormat="0" applyFill="0" applyBorder="0" applyAlignment="0" applyProtection="0"/>
    <xf numFmtId="0" fontId="41" fillId="0" borderId="0" applyNumberFormat="0" applyFill="0" applyBorder="0" applyAlignment="0" applyProtection="0"/>
    <xf numFmtId="0" fontId="28" fillId="0" borderId="0" applyNumberFormat="0" applyFon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Border="0" applyProtection="0"/>
    <xf numFmtId="0" fontId="27" fillId="0" borderId="0" applyNumberFormat="0" applyBorder="0" applyProtection="0"/>
    <xf numFmtId="0" fontId="27" fillId="0" borderId="0" applyNumberFormat="0" applyFill="0" applyBorder="0" applyAlignment="0" applyProtection="0"/>
    <xf numFmtId="0" fontId="27" fillId="0" borderId="0" applyNumberFormat="0" applyBorder="0" applyProtection="0"/>
    <xf numFmtId="0" fontId="27" fillId="0" borderId="0" applyNumberFormat="0" applyBorder="0" applyProtection="0"/>
    <xf numFmtId="0" fontId="3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36"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Border="0" applyProtection="0"/>
    <xf numFmtId="0" fontId="27" fillId="0" borderId="0" applyNumberFormat="0" applyBorder="0" applyProtection="0"/>
    <xf numFmtId="0" fontId="27" fillId="0" borderId="0" applyNumberFormat="0" applyBorder="0" applyProtection="0"/>
    <xf numFmtId="0" fontId="28" fillId="44" borderId="11" applyNumberFormat="0" applyFont="0" applyAlignment="0" applyProtection="0"/>
    <xf numFmtId="0" fontId="28" fillId="44" borderId="11" applyNumberFormat="0" applyFont="0" applyAlignment="0" applyProtection="0"/>
    <xf numFmtId="0" fontId="27" fillId="0" borderId="0" applyNumberForma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27" fillId="0" borderId="0" applyNumberFormat="0" applyBorder="0" applyProtection="0"/>
    <xf numFmtId="0" fontId="27" fillId="42" borderId="51" applyNumberFormat="0">
      <alignment vertical="center"/>
      <protection locked="0"/>
    </xf>
    <xf numFmtId="0" fontId="27" fillId="42" borderId="51" applyNumberFormat="0">
      <alignment vertical="center"/>
      <protection locked="0"/>
    </xf>
    <xf numFmtId="0" fontId="27" fillId="42" borderId="51" applyNumberFormat="0">
      <alignment vertical="center"/>
      <protection locked="0"/>
    </xf>
    <xf numFmtId="0" fontId="27" fillId="41" borderId="0" applyNumberFormat="0" applyBorder="0">
      <protection locked="0"/>
    </xf>
    <xf numFmtId="0" fontId="27" fillId="41" borderId="0" applyNumberFormat="0" applyBorder="0">
      <protection locked="0"/>
    </xf>
    <xf numFmtId="0" fontId="27" fillId="41" borderId="0" applyNumberFormat="0" applyBorder="0">
      <protection locked="0"/>
    </xf>
    <xf numFmtId="0" fontId="47" fillId="0" borderId="0" applyNumberFormat="0" applyFill="0" applyBorder="0" applyAlignment="0" applyProtection="0"/>
    <xf numFmtId="0" fontId="4" fillId="0" borderId="0"/>
    <xf numFmtId="0" fontId="9" fillId="0" borderId="0"/>
    <xf numFmtId="0" fontId="4" fillId="11" borderId="11" applyNumberFormat="0" applyFont="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1" fillId="13" borderId="0" applyNumberFormat="0" applyBorder="0" applyAlignment="0" applyProtection="0"/>
    <xf numFmtId="0" fontId="1" fillId="49" borderId="0" applyNumberFormat="0" applyBorder="0" applyAlignment="0" applyProtection="0"/>
    <xf numFmtId="0" fontId="1" fillId="17" borderId="0" applyNumberFormat="0" applyBorder="0" applyAlignment="0" applyProtection="0"/>
    <xf numFmtId="0" fontId="1" fillId="50" borderId="0" applyNumberFormat="0" applyBorder="0" applyAlignment="0" applyProtection="0"/>
    <xf numFmtId="0" fontId="1" fillId="21" borderId="0" applyNumberFormat="0" applyBorder="0" applyAlignment="0" applyProtection="0"/>
    <xf numFmtId="0" fontId="1" fillId="51" borderId="0" applyNumberFormat="0" applyBorder="0" applyAlignment="0" applyProtection="0"/>
    <xf numFmtId="0" fontId="1" fillId="25" borderId="0" applyNumberFormat="0" applyBorder="0" applyAlignment="0" applyProtection="0"/>
    <xf numFmtId="0" fontId="1" fillId="52"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53"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24" fillId="23" borderId="0" applyNumberFormat="0" applyBorder="0" applyAlignment="0" applyProtection="0"/>
    <xf numFmtId="0" fontId="24" fillId="53" borderId="0" applyNumberFormat="0" applyBorder="0" applyAlignment="0" applyProtection="0"/>
    <xf numFmtId="0" fontId="24" fillId="27" borderId="0" applyNumberFormat="0" applyBorder="0" applyAlignment="0" applyProtection="0"/>
    <xf numFmtId="0" fontId="24" fillId="54" borderId="0" applyNumberFormat="0" applyBorder="0" applyAlignment="0" applyProtection="0"/>
    <xf numFmtId="0" fontId="24" fillId="31" borderId="0" applyNumberFormat="0" applyBorder="0" applyAlignment="0" applyProtection="0"/>
    <xf numFmtId="0" fontId="24" fillId="35" borderId="0" applyNumberFormat="0" applyBorder="0" applyAlignment="0" applyProtection="0"/>
    <xf numFmtId="0" fontId="24" fillId="55" borderId="0" applyNumberFormat="0" applyBorder="0" applyAlignment="0" applyProtection="0"/>
    <xf numFmtId="0" fontId="24" fillId="12" borderId="0" applyNumberFormat="0" applyBorder="0" applyAlignment="0" applyProtection="0"/>
    <xf numFmtId="0" fontId="24" fillId="16"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28" borderId="0" applyNumberFormat="0" applyBorder="0" applyAlignment="0" applyProtection="0"/>
    <xf numFmtId="0" fontId="24" fillId="32" borderId="0" applyNumberFormat="0" applyBorder="0" applyAlignment="0" applyProtection="0"/>
    <xf numFmtId="0" fontId="16" fillId="6" borderId="0" applyNumberFormat="0" applyBorder="0" applyAlignment="0" applyProtection="0"/>
    <xf numFmtId="0" fontId="19" fillId="9" borderId="7" applyNumberFormat="0" applyAlignment="0" applyProtection="0"/>
    <xf numFmtId="0" fontId="21" fillId="10" borderId="10" applyNumberFormat="0" applyAlignment="0" applyProtection="0"/>
    <xf numFmtId="0" fontId="23" fillId="0" borderId="0" applyNumberFormat="0" applyFill="0" applyBorder="0" applyAlignment="0" applyProtection="0"/>
    <xf numFmtId="0" fontId="15" fillId="5" borderId="0" applyNumberFormat="0" applyBorder="0" applyAlignment="0" applyProtection="0"/>
    <xf numFmtId="0" fontId="12" fillId="0" borderId="2" applyNumberFormat="0" applyFill="0" applyAlignment="0" applyProtection="0"/>
    <xf numFmtId="0" fontId="13"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17" fillId="8" borderId="7" applyNumberFormat="0" applyAlignment="0" applyProtection="0"/>
    <xf numFmtId="0" fontId="20" fillId="0" borderId="9" applyNumberFormat="0" applyFill="0" applyAlignment="0" applyProtection="0"/>
    <xf numFmtId="0" fontId="33" fillId="7" borderId="0" applyNumberFormat="0" applyBorder="0" applyAlignment="0" applyProtection="0"/>
    <xf numFmtId="0" fontId="1" fillId="0" borderId="0"/>
    <xf numFmtId="0" fontId="48" fillId="0" borderId="0"/>
    <xf numFmtId="0" fontId="7" fillId="0" borderId="0"/>
    <xf numFmtId="0" fontId="48" fillId="11" borderId="11" applyNumberFormat="0" applyFont="0" applyAlignment="0" applyProtection="0"/>
    <xf numFmtId="0" fontId="1" fillId="11" borderId="11" applyNumberFormat="0" applyFont="0" applyAlignment="0" applyProtection="0"/>
    <xf numFmtId="0" fontId="18" fillId="9" borderId="8" applyNumberFormat="0" applyAlignment="0" applyProtection="0"/>
    <xf numFmtId="0" fontId="2" fillId="0" borderId="12" applyNumberFormat="0" applyFill="0" applyAlignment="0" applyProtection="0"/>
    <xf numFmtId="0" fontId="22" fillId="0" borderId="0" applyNumberFormat="0" applyFill="0" applyBorder="0" applyAlignment="0" applyProtection="0"/>
    <xf numFmtId="0" fontId="1" fillId="0" borderId="0"/>
    <xf numFmtId="43" fontId="1" fillId="0" borderId="0" applyFon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xf numFmtId="0" fontId="1" fillId="0" borderId="0"/>
    <xf numFmtId="0" fontId="8" fillId="0" borderId="0" applyNumberFormat="0" applyFill="0" applyBorder="0" applyAlignment="0" applyProtection="0">
      <alignment vertical="top"/>
      <protection locked="0"/>
    </xf>
    <xf numFmtId="0" fontId="10" fillId="0" borderId="2" applyNumberFormat="0" applyFill="0" applyAlignment="0" applyProtection="0"/>
    <xf numFmtId="0" fontId="7" fillId="0" borderId="0"/>
    <xf numFmtId="0" fontId="1" fillId="0" borderId="0"/>
    <xf numFmtId="43" fontId="7"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4" fontId="7" fillId="0" borderId="0" applyFont="0" applyFill="0" applyBorder="0" applyAlignment="0" applyProtection="0"/>
    <xf numFmtId="0" fontId="25" fillId="0" borderId="0"/>
    <xf numFmtId="0" fontId="51" fillId="0" borderId="0" applyNumberFormat="0" applyFill="0" applyAlignment="0" applyProtection="0"/>
    <xf numFmtId="0" fontId="52" fillId="0" borderId="0" applyNumberFormat="0" applyFill="0" applyAlignment="0" applyProtection="0"/>
    <xf numFmtId="0" fontId="5" fillId="0" borderId="0" applyNumberFormat="0" applyFill="0" applyAlignment="0" applyProtection="0"/>
    <xf numFmtId="0" fontId="53" fillId="0" borderId="0" applyNumberFormat="0" applyFill="0" applyBorder="0" applyAlignment="0" applyProtection="0"/>
    <xf numFmtId="0" fontId="26" fillId="0" borderId="0" applyNumberFormat="0" applyFill="0" applyBorder="0" applyAlignment="0" applyProtection="0"/>
    <xf numFmtId="43" fontId="25" fillId="0" borderId="0" applyFont="0" applyFill="0" applyBorder="0" applyAlignment="0" applyProtection="0"/>
    <xf numFmtId="0" fontId="54" fillId="0" borderId="0" applyNumberFormat="0" applyFill="0" applyBorder="0" applyAlignment="0" applyProtection="0">
      <alignment vertical="top"/>
      <protection locked="0"/>
    </xf>
  </cellStyleXfs>
  <cellXfs count="738">
    <xf numFmtId="0" fontId="0" fillId="0" borderId="0" xfId="0"/>
    <xf numFmtId="0" fontId="0" fillId="0" borderId="0" xfId="0" applyAlignment="1">
      <alignment wrapText="1"/>
    </xf>
    <xf numFmtId="9" fontId="0" fillId="0" borderId="0" xfId="4" applyFont="1"/>
    <xf numFmtId="0" fontId="49" fillId="0" borderId="0" xfId="0" applyFont="1"/>
    <xf numFmtId="0" fontId="49" fillId="0" borderId="0" xfId="0" applyFont="1" applyAlignment="1">
      <alignment wrapText="1"/>
    </xf>
    <xf numFmtId="0" fontId="49" fillId="4" borderId="0" xfId="0" applyFont="1" applyFill="1"/>
    <xf numFmtId="0" fontId="49" fillId="56" borderId="0" xfId="0" applyFont="1" applyFill="1"/>
    <xf numFmtId="0" fontId="49" fillId="0" borderId="0" xfId="0" quotePrefix="1" applyFont="1" applyAlignment="1">
      <alignment wrapText="1"/>
    </xf>
    <xf numFmtId="0" fontId="49" fillId="0" borderId="0" xfId="0" quotePrefix="1" applyFont="1" applyAlignment="1">
      <alignment vertical="center" wrapText="1"/>
    </xf>
    <xf numFmtId="0" fontId="55" fillId="60" borderId="16" xfId="0" applyFont="1" applyFill="1" applyBorder="1"/>
    <xf numFmtId="0" fontId="55" fillId="60" borderId="16" xfId="0" applyFont="1" applyFill="1" applyBorder="1" applyAlignment="1">
      <alignment horizontal="center" vertical="center" wrapText="1"/>
    </xf>
    <xf numFmtId="0" fontId="55" fillId="60" borderId="16" xfId="0" applyFont="1" applyFill="1" applyBorder="1" applyAlignment="1">
      <alignment horizontal="center"/>
    </xf>
    <xf numFmtId="0" fontId="55" fillId="60" borderId="16" xfId="0" applyFont="1" applyFill="1" applyBorder="1" applyAlignment="1">
      <alignment vertical="top"/>
    </xf>
    <xf numFmtId="0" fontId="55" fillId="60" borderId="16" xfId="0" applyFont="1" applyFill="1" applyBorder="1" applyAlignment="1">
      <alignment wrapText="1"/>
    </xf>
    <xf numFmtId="0" fontId="56" fillId="0" borderId="16" xfId="0" applyFont="1" applyBorder="1" applyAlignment="1">
      <alignment horizontal="center" vertical="center" wrapText="1"/>
    </xf>
    <xf numFmtId="0" fontId="57" fillId="0" borderId="16" xfId="0" applyFont="1" applyBorder="1" applyAlignment="1">
      <alignment horizontal="center" vertical="center" wrapText="1"/>
    </xf>
    <xf numFmtId="0" fontId="56" fillId="0" borderId="16" xfId="0" applyFont="1" applyBorder="1" applyAlignment="1">
      <alignment vertical="top" wrapText="1"/>
    </xf>
    <xf numFmtId="0" fontId="56" fillId="0" borderId="16" xfId="0" applyFont="1" applyBorder="1" applyAlignment="1">
      <alignment wrapText="1"/>
    </xf>
    <xf numFmtId="0" fontId="55" fillId="0" borderId="0" xfId="0" applyFont="1"/>
    <xf numFmtId="0" fontId="56" fillId="0" borderId="0" xfId="0" applyFont="1"/>
    <xf numFmtId="0" fontId="56" fillId="0" borderId="0" xfId="0" applyFont="1" applyAlignment="1">
      <alignment horizontal="center" vertical="center"/>
    </xf>
    <xf numFmtId="0" fontId="57" fillId="0" borderId="0" xfId="0" applyFont="1" applyAlignment="1">
      <alignment horizontal="center" vertical="center" wrapText="1"/>
    </xf>
    <xf numFmtId="0" fontId="56" fillId="0" borderId="0" xfId="0" applyFont="1" applyAlignment="1">
      <alignment vertical="top" wrapText="1"/>
    </xf>
    <xf numFmtId="0" fontId="56" fillId="0" borderId="0" xfId="0" applyFont="1" applyAlignment="1">
      <alignment wrapText="1"/>
    </xf>
    <xf numFmtId="0" fontId="56" fillId="0" borderId="0" xfId="0" applyFont="1" applyAlignment="1">
      <alignment horizontal="center" vertical="center" wrapText="1"/>
    </xf>
    <xf numFmtId="0" fontId="56" fillId="0" borderId="0" xfId="0" applyFont="1" applyAlignment="1">
      <alignment vertical="top"/>
    </xf>
    <xf numFmtId="167" fontId="56" fillId="0" borderId="0" xfId="4" applyNumberFormat="1" applyFont="1"/>
    <xf numFmtId="167" fontId="56" fillId="0" borderId="4" xfId="4" applyNumberFormat="1" applyFont="1" applyBorder="1"/>
    <xf numFmtId="167" fontId="56" fillId="0" borderId="70" xfId="4" applyNumberFormat="1" applyFont="1" applyBorder="1"/>
    <xf numFmtId="0" fontId="26" fillId="45" borderId="0" xfId="0" applyFont="1" applyFill="1" applyAlignment="1">
      <alignment vertical="center" wrapText="1"/>
    </xf>
    <xf numFmtId="0" fontId="26" fillId="45" borderId="3" xfId="0" applyFont="1" applyFill="1" applyBorder="1" applyAlignment="1">
      <alignment vertical="center" wrapText="1"/>
    </xf>
    <xf numFmtId="0" fontId="26" fillId="45" borderId="63" xfId="0" applyFont="1" applyFill="1" applyBorder="1" applyAlignment="1">
      <alignment vertical="center" wrapText="1"/>
    </xf>
    <xf numFmtId="0" fontId="55" fillId="45" borderId="3" xfId="0" applyFont="1" applyFill="1" applyBorder="1" applyAlignment="1">
      <alignment horizontal="center" vertical="center"/>
    </xf>
    <xf numFmtId="0" fontId="55" fillId="45" borderId="3" xfId="0" applyFont="1" applyFill="1" applyBorder="1" applyAlignment="1">
      <alignment horizontal="center" vertical="center" wrapText="1"/>
    </xf>
    <xf numFmtId="0" fontId="57" fillId="0" borderId="3" xfId="0" applyFont="1" applyBorder="1" applyAlignment="1">
      <alignment vertical="center"/>
    </xf>
    <xf numFmtId="9" fontId="56" fillId="0" borderId="0" xfId="4" applyFont="1" applyAlignment="1">
      <alignment horizontal="center" vertical="center"/>
    </xf>
    <xf numFmtId="9" fontId="56" fillId="0" borderId="66" xfId="4" applyFont="1" applyBorder="1" applyAlignment="1">
      <alignment horizontal="center" vertical="center"/>
    </xf>
    <xf numFmtId="0" fontId="56" fillId="0" borderId="65" xfId="0" applyFont="1" applyBorder="1"/>
    <xf numFmtId="9" fontId="56" fillId="38" borderId="0" xfId="4" applyFont="1" applyFill="1" applyBorder="1"/>
    <xf numFmtId="1" fontId="56" fillId="0" borderId="68" xfId="0" applyNumberFormat="1" applyFont="1" applyBorder="1" applyAlignment="1">
      <alignment horizontal="center" vertical="center"/>
    </xf>
    <xf numFmtId="9" fontId="56" fillId="0" borderId="0" xfId="4" applyFont="1" applyBorder="1" applyAlignment="1">
      <alignment horizontal="center" vertical="center"/>
    </xf>
    <xf numFmtId="1" fontId="56" fillId="0" borderId="26" xfId="0" applyNumberFormat="1" applyFont="1" applyBorder="1" applyAlignment="1">
      <alignment horizontal="center" vertical="center"/>
    </xf>
    <xf numFmtId="9" fontId="56" fillId="0" borderId="65" xfId="4" applyFont="1" applyBorder="1" applyAlignment="1">
      <alignment horizontal="center" vertical="center"/>
    </xf>
    <xf numFmtId="167" fontId="56" fillId="0" borderId="0" xfId="0" applyNumberFormat="1" applyFont="1"/>
    <xf numFmtId="9" fontId="56" fillId="0" borderId="73" xfId="4" applyFont="1" applyBorder="1" applyAlignment="1">
      <alignment horizontal="center" vertical="center"/>
    </xf>
    <xf numFmtId="0" fontId="57" fillId="0" borderId="0" xfId="0" applyFont="1" applyAlignment="1">
      <alignment vertical="center"/>
    </xf>
    <xf numFmtId="0" fontId="56" fillId="0" borderId="68" xfId="0" applyFont="1" applyBorder="1"/>
    <xf numFmtId="9" fontId="56" fillId="38" borderId="65" xfId="4" applyFont="1" applyFill="1" applyBorder="1"/>
    <xf numFmtId="0" fontId="55" fillId="37" borderId="64" xfId="0" applyFont="1" applyFill="1" applyBorder="1"/>
    <xf numFmtId="0" fontId="55" fillId="37" borderId="3" xfId="0" applyFont="1" applyFill="1" applyBorder="1" applyAlignment="1">
      <alignment horizontal="center" vertical="center"/>
    </xf>
    <xf numFmtId="1" fontId="55" fillId="37" borderId="63" xfId="0" applyNumberFormat="1" applyFont="1" applyFill="1" applyBorder="1" applyAlignment="1">
      <alignment horizontal="center" vertical="center"/>
    </xf>
    <xf numFmtId="9" fontId="55" fillId="37" borderId="63" xfId="0" applyNumberFormat="1" applyFont="1" applyFill="1" applyBorder="1" applyAlignment="1">
      <alignment horizontal="center" vertical="center"/>
    </xf>
    <xf numFmtId="1" fontId="55" fillId="37" borderId="64" xfId="0" applyNumberFormat="1" applyFont="1" applyFill="1" applyBorder="1" applyAlignment="1">
      <alignment horizontal="center" vertical="center"/>
    </xf>
    <xf numFmtId="4" fontId="26" fillId="2" borderId="26" xfId="21" applyNumberFormat="1" applyFont="1" applyFill="1" applyBorder="1" applyAlignment="1"/>
    <xf numFmtId="4" fontId="26" fillId="40" borderId="26" xfId="21" applyNumberFormat="1" applyFont="1" applyFill="1" applyBorder="1" applyAlignment="1"/>
    <xf numFmtId="4" fontId="26" fillId="2" borderId="26" xfId="21" applyNumberFormat="1" applyFont="1" applyFill="1" applyBorder="1"/>
    <xf numFmtId="4" fontId="59" fillId="0" borderId="68" xfId="0" applyNumberFormat="1" applyFont="1" applyBorder="1"/>
    <xf numFmtId="4" fontId="59" fillId="0" borderId="69" xfId="0" applyNumberFormat="1" applyFont="1" applyBorder="1"/>
    <xf numFmtId="0" fontId="26" fillId="2" borderId="26" xfId="0" applyFont="1" applyFill="1" applyBorder="1" applyAlignment="1">
      <alignment horizontal="left"/>
    </xf>
    <xf numFmtId="0" fontId="65" fillId="39" borderId="33" xfId="0" applyFont="1" applyFill="1" applyBorder="1"/>
    <xf numFmtId="0" fontId="65" fillId="0" borderId="0" xfId="0" applyFont="1"/>
    <xf numFmtId="2" fontId="56" fillId="0" borderId="0" xfId="0" applyNumberFormat="1" applyFont="1"/>
    <xf numFmtId="0" fontId="56" fillId="60" borderId="0" xfId="0" applyFont="1" applyFill="1"/>
    <xf numFmtId="2" fontId="56" fillId="60" borderId="0" xfId="0" applyNumberFormat="1" applyFont="1" applyFill="1"/>
    <xf numFmtId="0" fontId="65" fillId="0" borderId="33" xfId="0" applyFont="1" applyBorder="1"/>
    <xf numFmtId="0" fontId="65" fillId="0" borderId="34" xfId="0" applyFont="1" applyBorder="1"/>
    <xf numFmtId="2" fontId="65" fillId="0" borderId="34" xfId="0" applyNumberFormat="1" applyFont="1" applyBorder="1"/>
    <xf numFmtId="4" fontId="56" fillId="0" borderId="0" xfId="0" applyNumberFormat="1" applyFont="1"/>
    <xf numFmtId="0" fontId="56" fillId="37" borderId="20" xfId="0" applyFont="1" applyFill="1" applyBorder="1" applyAlignment="1">
      <alignment horizontal="left"/>
    </xf>
    <xf numFmtId="3" fontId="56" fillId="0" borderId="0" xfId="0" applyNumberFormat="1" applyFont="1"/>
    <xf numFmtId="0" fontId="56" fillId="37" borderId="24" xfId="0" applyFont="1" applyFill="1" applyBorder="1" applyAlignment="1">
      <alignment horizontal="left"/>
    </xf>
    <xf numFmtId="4" fontId="62" fillId="0" borderId="0" xfId="0" applyNumberFormat="1" applyFont="1"/>
    <xf numFmtId="4" fontId="26" fillId="40" borderId="26" xfId="3" applyNumberFormat="1" applyFont="1" applyFill="1" applyBorder="1"/>
    <xf numFmtId="4" fontId="57" fillId="40" borderId="27" xfId="3" applyNumberFormat="1" applyFont="1" applyFill="1" applyBorder="1"/>
    <xf numFmtId="4" fontId="57" fillId="40" borderId="28" xfId="3" applyNumberFormat="1" applyFont="1" applyFill="1" applyBorder="1"/>
    <xf numFmtId="4" fontId="52" fillId="40" borderId="68" xfId="57" applyNumberFormat="1" applyFont="1" applyFill="1" applyBorder="1"/>
    <xf numFmtId="4" fontId="52" fillId="40" borderId="0" xfId="57" applyNumberFormat="1" applyFont="1" applyFill="1"/>
    <xf numFmtId="4" fontId="52" fillId="40" borderId="70" xfId="57" applyNumberFormat="1" applyFont="1" applyFill="1" applyBorder="1"/>
    <xf numFmtId="4" fontId="65" fillId="40" borderId="68" xfId="3" applyNumberFormat="1" applyFont="1" applyFill="1" applyBorder="1"/>
    <xf numFmtId="4" fontId="26" fillId="40" borderId="0" xfId="3" applyNumberFormat="1" applyFont="1" applyFill="1" applyAlignment="1">
      <alignment horizontal="center"/>
    </xf>
    <xf numFmtId="4" fontId="26" fillId="40" borderId="52" xfId="3" applyNumberFormat="1" applyFont="1" applyFill="1" applyBorder="1" applyAlignment="1">
      <alignment horizontal="center"/>
    </xf>
    <xf numFmtId="4" fontId="26" fillId="40" borderId="70" xfId="3" applyNumberFormat="1" applyFont="1" applyFill="1" applyBorder="1" applyAlignment="1">
      <alignment horizontal="center"/>
    </xf>
    <xf numFmtId="4" fontId="26" fillId="40" borderId="80" xfId="3" applyNumberFormat="1" applyFont="1" applyFill="1" applyBorder="1"/>
    <xf numFmtId="4" fontId="52" fillId="40" borderId="17" xfId="3" applyNumberFormat="1" applyFont="1" applyFill="1" applyBorder="1"/>
    <xf numFmtId="4" fontId="52" fillId="40" borderId="48" xfId="3" applyNumberFormat="1" applyFont="1" applyFill="1" applyBorder="1"/>
    <xf numFmtId="4" fontId="52" fillId="40" borderId="89" xfId="3" applyNumberFormat="1" applyFont="1" applyFill="1" applyBorder="1"/>
    <xf numFmtId="4" fontId="65" fillId="40" borderId="78" xfId="3" applyNumberFormat="1" applyFont="1" applyFill="1" applyBorder="1"/>
    <xf numFmtId="4" fontId="57" fillId="40" borderId="15" xfId="3" applyNumberFormat="1" applyFont="1" applyFill="1" applyBorder="1"/>
    <xf numFmtId="4" fontId="57" fillId="40" borderId="39" xfId="3" applyNumberFormat="1" applyFont="1" applyFill="1" applyBorder="1"/>
    <xf numFmtId="4" fontId="57" fillId="40" borderId="79" xfId="3" applyNumberFormat="1" applyFont="1" applyFill="1" applyBorder="1"/>
    <xf numFmtId="4" fontId="65" fillId="40" borderId="69" xfId="3" applyNumberFormat="1" applyFont="1" applyFill="1" applyBorder="1"/>
    <xf numFmtId="4" fontId="52" fillId="40" borderId="4" xfId="56" applyNumberFormat="1" applyFont="1" applyFill="1" applyBorder="1"/>
    <xf numFmtId="4" fontId="52" fillId="40" borderId="41" xfId="56" applyNumberFormat="1" applyFont="1" applyFill="1" applyBorder="1"/>
    <xf numFmtId="4" fontId="52" fillId="40" borderId="71" xfId="56" applyNumberFormat="1" applyFont="1" applyFill="1" applyBorder="1"/>
    <xf numFmtId="4" fontId="57" fillId="0" borderId="0" xfId="3" applyNumberFormat="1" applyFont="1"/>
    <xf numFmtId="4" fontId="57" fillId="40" borderId="27" xfId="0" applyNumberFormat="1" applyFont="1" applyFill="1" applyBorder="1"/>
    <xf numFmtId="4" fontId="56" fillId="40" borderId="28" xfId="0" applyNumberFormat="1" applyFont="1" applyFill="1" applyBorder="1"/>
    <xf numFmtId="4" fontId="57" fillId="40" borderId="0" xfId="0" applyNumberFormat="1" applyFont="1" applyFill="1"/>
    <xf numFmtId="4" fontId="56" fillId="40" borderId="70" xfId="0" applyNumberFormat="1" applyFont="1" applyFill="1" applyBorder="1"/>
    <xf numFmtId="4" fontId="57" fillId="40" borderId="69" xfId="57" applyNumberFormat="1" applyFont="1" applyFill="1" applyBorder="1"/>
    <xf numFmtId="4" fontId="57" fillId="40" borderId="4" xfId="57" applyNumberFormat="1" applyFont="1" applyFill="1" applyBorder="1"/>
    <xf numFmtId="4" fontId="57" fillId="40" borderId="71" xfId="57" applyNumberFormat="1" applyFont="1" applyFill="1" applyBorder="1"/>
    <xf numFmtId="4" fontId="65" fillId="2" borderId="90" xfId="3" applyNumberFormat="1" applyFont="1" applyFill="1" applyBorder="1" applyAlignment="1">
      <alignment horizontal="center" vertical="center" wrapText="1"/>
    </xf>
    <xf numFmtId="4" fontId="65" fillId="2" borderId="35" xfId="3" applyNumberFormat="1" applyFont="1" applyFill="1" applyBorder="1" applyAlignment="1">
      <alignment horizontal="center" vertical="center" wrapText="1"/>
    </xf>
    <xf numFmtId="4" fontId="65" fillId="2" borderId="91" xfId="3" applyNumberFormat="1" applyFont="1" applyFill="1" applyBorder="1" applyAlignment="1">
      <alignment horizontal="center" vertical="center" wrapText="1"/>
    </xf>
    <xf numFmtId="4" fontId="65" fillId="2" borderId="92" xfId="3" applyNumberFormat="1" applyFont="1" applyFill="1" applyBorder="1" applyAlignment="1">
      <alignment horizontal="left" vertical="top" wrapText="1"/>
    </xf>
    <xf numFmtId="164" fontId="52" fillId="3" borderId="1" xfId="3" applyNumberFormat="1" applyFont="1" applyFill="1" applyBorder="1" applyAlignment="1">
      <alignment horizontal="right"/>
    </xf>
    <xf numFmtId="165" fontId="67" fillId="3" borderId="93" xfId="56" applyNumberFormat="1" applyFont="1" applyFill="1" applyBorder="1" applyAlignment="1">
      <alignment horizontal="right"/>
    </xf>
    <xf numFmtId="4" fontId="26" fillId="2" borderId="92" xfId="3" applyNumberFormat="1" applyFont="1" applyFill="1" applyBorder="1" applyAlignment="1">
      <alignment horizontal="left" vertical="top" wrapText="1"/>
    </xf>
    <xf numFmtId="1" fontId="52" fillId="3" borderId="1" xfId="3" applyNumberFormat="1" applyFont="1" applyFill="1" applyBorder="1" applyAlignment="1">
      <alignment horizontal="right"/>
    </xf>
    <xf numFmtId="165" fontId="67" fillId="3" borderId="93" xfId="56" applyNumberFormat="1" applyFont="1" applyFill="1" applyBorder="1" applyAlignment="1"/>
    <xf numFmtId="4" fontId="26" fillId="2" borderId="95" xfId="3" applyNumberFormat="1" applyFont="1" applyFill="1" applyBorder="1" applyAlignment="1">
      <alignment horizontal="left" vertical="top" wrapText="1"/>
    </xf>
    <xf numFmtId="1" fontId="52" fillId="3" borderId="36" xfId="3" applyNumberFormat="1" applyFont="1" applyFill="1" applyBorder="1" applyAlignment="1">
      <alignment horizontal="right"/>
    </xf>
    <xf numFmtId="165" fontId="67" fillId="3" borderId="96" xfId="56" applyNumberFormat="1" applyFont="1" applyFill="1" applyBorder="1" applyAlignment="1">
      <alignment horizontal="right"/>
    </xf>
    <xf numFmtId="4" fontId="66" fillId="2" borderId="68" xfId="3" applyNumberFormat="1" applyFont="1" applyFill="1" applyBorder="1" applyAlignment="1">
      <alignment horizontal="left" vertical="top" wrapText="1"/>
    </xf>
    <xf numFmtId="164" fontId="68" fillId="36" borderId="0" xfId="0" applyNumberFormat="1" applyFont="1" applyFill="1" applyAlignment="1">
      <alignment horizontal="right"/>
    </xf>
    <xf numFmtId="3" fontId="68" fillId="36" borderId="0" xfId="0" applyNumberFormat="1" applyFont="1" applyFill="1" applyAlignment="1">
      <alignment horizontal="right"/>
    </xf>
    <xf numFmtId="4" fontId="56" fillId="0" borderId="68" xfId="0" applyNumberFormat="1" applyFont="1" applyBorder="1"/>
    <xf numFmtId="4" fontId="66" fillId="2" borderId="69" xfId="3" applyNumberFormat="1" applyFont="1" applyFill="1" applyBorder="1" applyAlignment="1">
      <alignment horizontal="left" vertical="top" wrapText="1"/>
    </xf>
    <xf numFmtId="164" fontId="68" fillId="2" borderId="4" xfId="0" applyNumberFormat="1" applyFont="1" applyFill="1" applyBorder="1" applyAlignment="1">
      <alignment vertical="top" wrapText="1"/>
    </xf>
    <xf numFmtId="166" fontId="68" fillId="2" borderId="4" xfId="1" applyNumberFormat="1" applyFont="1" applyFill="1" applyBorder="1" applyAlignment="1">
      <alignment horizontal="right" vertical="top" wrapText="1"/>
    </xf>
    <xf numFmtId="9" fontId="56" fillId="0" borderId="0" xfId="4" applyFont="1"/>
    <xf numFmtId="4" fontId="57" fillId="0" borderId="27" xfId="3" applyNumberFormat="1" applyFont="1" applyBorder="1"/>
    <xf numFmtId="4" fontId="57" fillId="0" borderId="28" xfId="3" applyNumberFormat="1" applyFont="1" applyBorder="1"/>
    <xf numFmtId="4" fontId="52" fillId="2" borderId="68" xfId="21" applyNumberFormat="1" applyFont="1" applyFill="1" applyBorder="1" applyAlignment="1">
      <alignment vertical="top"/>
    </xf>
    <xf numFmtId="4" fontId="57" fillId="0" borderId="70" xfId="3" applyNumberFormat="1" applyFont="1" applyBorder="1"/>
    <xf numFmtId="4" fontId="52" fillId="2" borderId="69" xfId="21" applyNumberFormat="1" applyFont="1" applyFill="1" applyBorder="1" applyAlignment="1">
      <alignment vertical="top"/>
    </xf>
    <xf numFmtId="4" fontId="65" fillId="40" borderId="86" xfId="3" applyNumberFormat="1" applyFont="1" applyFill="1" applyBorder="1"/>
    <xf numFmtId="4" fontId="65" fillId="40" borderId="29" xfId="3" applyNumberFormat="1" applyFont="1" applyFill="1" applyBorder="1" applyAlignment="1">
      <alignment horizontal="right"/>
    </xf>
    <xf numFmtId="4" fontId="65" fillId="40" borderId="49" xfId="3" applyNumberFormat="1" applyFont="1" applyFill="1" applyBorder="1" applyAlignment="1">
      <alignment horizontal="right"/>
    </xf>
    <xf numFmtId="4" fontId="26" fillId="40" borderId="29" xfId="3" applyNumberFormat="1" applyFont="1" applyFill="1" applyBorder="1" applyAlignment="1">
      <alignment horizontal="right"/>
    </xf>
    <xf numFmtId="4" fontId="65" fillId="40" borderId="97" xfId="3" applyNumberFormat="1" applyFont="1" applyFill="1" applyBorder="1" applyAlignment="1">
      <alignment horizontal="right"/>
    </xf>
    <xf numFmtId="4" fontId="66" fillId="40" borderId="29" xfId="3" applyNumberFormat="1" applyFont="1" applyFill="1" applyBorder="1" applyAlignment="1">
      <alignment horizontal="center" vertical="center" wrapText="1"/>
    </xf>
    <xf numFmtId="4" fontId="66" fillId="45" borderId="27" xfId="0" applyNumberFormat="1" applyFont="1" applyFill="1" applyBorder="1" applyAlignment="1">
      <alignment horizontal="center" vertical="center" wrapText="1"/>
    </xf>
    <xf numFmtId="4" fontId="66" fillId="0" borderId="27" xfId="0" applyNumberFormat="1" applyFont="1" applyBorder="1" applyAlignment="1">
      <alignment horizontal="center" vertical="center" wrapText="1"/>
    </xf>
    <xf numFmtId="4" fontId="66" fillId="4" borderId="27" xfId="0" applyNumberFormat="1" applyFont="1" applyFill="1" applyBorder="1" applyAlignment="1">
      <alignment horizontal="center" vertical="center" wrapText="1"/>
    </xf>
    <xf numFmtId="4" fontId="57" fillId="40" borderId="0" xfId="3" applyNumberFormat="1" applyFont="1" applyFill="1"/>
    <xf numFmtId="4" fontId="57" fillId="40" borderId="40" xfId="3" applyNumberFormat="1" applyFont="1" applyFill="1" applyBorder="1"/>
    <xf numFmtId="164" fontId="57" fillId="40" borderId="70" xfId="0" applyNumberFormat="1" applyFont="1" applyFill="1" applyBorder="1"/>
    <xf numFmtId="3" fontId="56" fillId="0" borderId="0" xfId="4" applyNumberFormat="1" applyFont="1"/>
    <xf numFmtId="4" fontId="57" fillId="40" borderId="4" xfId="3" applyNumberFormat="1" applyFont="1" applyFill="1" applyBorder="1"/>
    <xf numFmtId="4" fontId="57" fillId="40" borderId="41" xfId="3" applyNumberFormat="1" applyFont="1" applyFill="1" applyBorder="1"/>
    <xf numFmtId="4" fontId="57" fillId="40" borderId="71" xfId="3" applyNumberFormat="1" applyFont="1" applyFill="1" applyBorder="1"/>
    <xf numFmtId="4" fontId="68" fillId="40" borderId="4" xfId="3" applyNumberFormat="1" applyFont="1" applyFill="1" applyBorder="1" applyAlignment="1">
      <alignment horizontal="center" vertical="center"/>
    </xf>
    <xf numFmtId="4" fontId="68" fillId="4" borderId="4" xfId="3" applyNumberFormat="1" applyFont="1" applyFill="1" applyBorder="1" applyAlignment="1">
      <alignment horizontal="center" vertical="center"/>
    </xf>
    <xf numFmtId="4" fontId="68" fillId="0" borderId="4" xfId="3" applyNumberFormat="1" applyFont="1" applyBorder="1" applyAlignment="1">
      <alignment horizontal="center" vertical="center"/>
    </xf>
    <xf numFmtId="4" fontId="66" fillId="40" borderId="69" xfId="3" applyNumberFormat="1" applyFont="1" applyFill="1" applyBorder="1"/>
    <xf numFmtId="3" fontId="68" fillId="40" borderId="4" xfId="3" applyNumberFormat="1" applyFont="1" applyFill="1" applyBorder="1"/>
    <xf numFmtId="3" fontId="68" fillId="40" borderId="71" xfId="3" applyNumberFormat="1" applyFont="1" applyFill="1" applyBorder="1"/>
    <xf numFmtId="9" fontId="62" fillId="0" borderId="0" xfId="4" applyFont="1"/>
    <xf numFmtId="4" fontId="57" fillId="2" borderId="83" xfId="0" applyNumberFormat="1" applyFont="1" applyFill="1" applyBorder="1" applyAlignment="1">
      <alignment vertical="top" wrapText="1"/>
    </xf>
    <xf numFmtId="4" fontId="57" fillId="2" borderId="98" xfId="0" applyNumberFormat="1" applyFont="1" applyFill="1" applyBorder="1" applyAlignment="1">
      <alignment vertical="top" wrapText="1"/>
    </xf>
    <xf numFmtId="4" fontId="56" fillId="0" borderId="28" xfId="0" applyNumberFormat="1" applyFont="1" applyBorder="1"/>
    <xf numFmtId="4" fontId="62" fillId="0" borderId="26" xfId="0" applyNumberFormat="1" applyFont="1" applyBorder="1"/>
    <xf numFmtId="4" fontId="62" fillId="0" borderId="27" xfId="0" applyNumberFormat="1" applyFont="1" applyBorder="1"/>
    <xf numFmtId="4" fontId="66" fillId="2" borderId="83" xfId="3" applyNumberFormat="1" applyFont="1" applyFill="1" applyBorder="1" applyAlignment="1">
      <alignment horizontal="center" vertical="center"/>
    </xf>
    <xf numFmtId="4" fontId="56" fillId="0" borderId="27" xfId="0" applyNumberFormat="1" applyFont="1" applyBorder="1"/>
    <xf numFmtId="3" fontId="66" fillId="2" borderId="0" xfId="3" applyNumberFormat="1" applyFont="1" applyFill="1" applyAlignment="1">
      <alignment horizontal="center" vertical="center"/>
    </xf>
    <xf numFmtId="4" fontId="57" fillId="2" borderId="0" xfId="0" applyNumberFormat="1" applyFont="1" applyFill="1" applyAlignment="1">
      <alignment vertical="top" wrapText="1"/>
    </xf>
    <xf numFmtId="4" fontId="56" fillId="0" borderId="70" xfId="0" applyNumberFormat="1" applyFont="1" applyBorder="1"/>
    <xf numFmtId="4" fontId="62" fillId="0" borderId="68" xfId="0" applyNumberFormat="1" applyFont="1" applyBorder="1"/>
    <xf numFmtId="4" fontId="66" fillId="2" borderId="90" xfId="3" applyNumberFormat="1" applyFont="1" applyFill="1" applyBorder="1" applyAlignment="1">
      <alignment horizontal="center" vertical="center" wrapText="1"/>
    </xf>
    <xf numFmtId="4" fontId="66" fillId="2" borderId="35" xfId="3" applyNumberFormat="1" applyFont="1" applyFill="1" applyBorder="1" applyAlignment="1">
      <alignment horizontal="center" vertical="center" wrapText="1"/>
    </xf>
    <xf numFmtId="4" fontId="66" fillId="2" borderId="70" xfId="3" applyNumberFormat="1" applyFont="1" applyFill="1" applyBorder="1" applyAlignment="1">
      <alignment horizontal="center" vertical="center" wrapText="1"/>
    </xf>
    <xf numFmtId="3" fontId="59" fillId="0" borderId="66" xfId="0" applyNumberFormat="1" applyFont="1" applyBorder="1" applyAlignment="1">
      <alignment horizontal="center" vertical="center"/>
    </xf>
    <xf numFmtId="4" fontId="66" fillId="2" borderId="0" xfId="3" applyNumberFormat="1" applyFont="1" applyFill="1" applyAlignment="1">
      <alignment horizontal="center" vertical="center"/>
    </xf>
    <xf numFmtId="4" fontId="26" fillId="2" borderId="78" xfId="0" applyNumberFormat="1" applyFont="1" applyFill="1" applyBorder="1" applyAlignment="1">
      <alignment vertical="center"/>
    </xf>
    <xf numFmtId="4" fontId="26" fillId="2" borderId="15" xfId="0" applyNumberFormat="1" applyFont="1" applyFill="1" applyBorder="1" applyAlignment="1">
      <alignment horizontal="center" vertical="center" wrapText="1"/>
    </xf>
    <xf numFmtId="4" fontId="26" fillId="2" borderId="37" xfId="0" applyNumberFormat="1" applyFont="1" applyFill="1" applyBorder="1" applyAlignment="1">
      <alignment horizontal="center" vertical="center"/>
    </xf>
    <xf numFmtId="4" fontId="62" fillId="0" borderId="70" xfId="0" applyNumberFormat="1" applyFont="1" applyBorder="1"/>
    <xf numFmtId="3" fontId="66" fillId="0" borderId="64" xfId="0" applyNumberFormat="1" applyFont="1" applyBorder="1" applyAlignment="1">
      <alignment horizontal="center" vertical="center" wrapText="1"/>
    </xf>
    <xf numFmtId="3" fontId="66" fillId="0" borderId="63" xfId="0" applyNumberFormat="1" applyFont="1" applyBorder="1" applyAlignment="1">
      <alignment horizontal="center" vertical="center" wrapText="1"/>
    </xf>
    <xf numFmtId="3" fontId="66" fillId="0" borderId="72" xfId="0" applyNumberFormat="1" applyFont="1" applyBorder="1" applyAlignment="1">
      <alignment horizontal="center" vertical="center" wrapText="1"/>
    </xf>
    <xf numFmtId="1" fontId="26" fillId="2" borderId="99" xfId="0" applyNumberFormat="1" applyFont="1" applyFill="1" applyBorder="1" applyAlignment="1">
      <alignment horizontal="left" vertical="top" wrapText="1" indent="2"/>
    </xf>
    <xf numFmtId="4" fontId="52" fillId="36" borderId="0" xfId="0" applyNumberFormat="1" applyFont="1" applyFill="1" applyAlignment="1">
      <alignment horizontal="right"/>
    </xf>
    <xf numFmtId="4" fontId="52" fillId="36" borderId="0" xfId="0" applyNumberFormat="1" applyFont="1" applyFill="1" applyAlignment="1">
      <alignment horizontal="right" wrapText="1"/>
    </xf>
    <xf numFmtId="4" fontId="66" fillId="2" borderId="99" xfId="3" applyNumberFormat="1" applyFont="1" applyFill="1" applyBorder="1" applyAlignment="1">
      <alignment horizontal="left" vertical="top" wrapText="1"/>
    </xf>
    <xf numFmtId="3" fontId="62" fillId="0" borderId="0" xfId="0" applyNumberFormat="1" applyFont="1"/>
    <xf numFmtId="3" fontId="62" fillId="0" borderId="70" xfId="0" applyNumberFormat="1" applyFont="1" applyBorder="1"/>
    <xf numFmtId="1" fontId="26" fillId="2" borderId="92" xfId="0" applyNumberFormat="1" applyFont="1" applyFill="1" applyBorder="1" applyAlignment="1">
      <alignment horizontal="left" vertical="top" wrapText="1" indent="2"/>
    </xf>
    <xf numFmtId="4" fontId="66" fillId="2" borderId="92" xfId="3" applyNumberFormat="1" applyFont="1" applyFill="1" applyBorder="1" applyAlignment="1">
      <alignment horizontal="left" vertical="top" wrapText="1"/>
    </xf>
    <xf numFmtId="1" fontId="26" fillId="2" borderId="95" xfId="0" applyNumberFormat="1" applyFont="1" applyFill="1" applyBorder="1" applyAlignment="1">
      <alignment horizontal="left" vertical="top" wrapText="1" indent="2"/>
    </xf>
    <xf numFmtId="1" fontId="26" fillId="2" borderId="68" xfId="0" applyNumberFormat="1" applyFont="1" applyFill="1" applyBorder="1" applyAlignment="1">
      <alignment horizontal="left" vertical="top" wrapText="1" indent="2"/>
    </xf>
    <xf numFmtId="177" fontId="56" fillId="0" borderId="0" xfId="0" applyNumberFormat="1" applyFont="1"/>
    <xf numFmtId="1" fontId="26" fillId="2" borderId="100" xfId="0" applyNumberFormat="1" applyFont="1" applyFill="1" applyBorder="1" applyAlignment="1">
      <alignment horizontal="left" vertical="top" wrapText="1" indent="2"/>
    </xf>
    <xf numFmtId="4" fontId="52" fillId="36" borderId="42" xfId="0" applyNumberFormat="1" applyFont="1" applyFill="1" applyBorder="1" applyAlignment="1">
      <alignment horizontal="right"/>
    </xf>
    <xf numFmtId="4" fontId="52" fillId="36" borderId="43" xfId="0" applyNumberFormat="1" applyFont="1" applyFill="1" applyBorder="1" applyAlignment="1">
      <alignment horizontal="right"/>
    </xf>
    <xf numFmtId="4" fontId="52" fillId="36" borderId="44" xfId="0" applyNumberFormat="1" applyFont="1" applyFill="1" applyBorder="1" applyAlignment="1">
      <alignment horizontal="right" wrapText="1"/>
    </xf>
    <xf numFmtId="1" fontId="26" fillId="2" borderId="101" xfId="0" applyNumberFormat="1" applyFont="1" applyFill="1" applyBorder="1" applyAlignment="1">
      <alignment horizontal="left" vertical="top" wrapText="1" indent="2"/>
    </xf>
    <xf numFmtId="4" fontId="52" fillId="36" borderId="46" xfId="0" applyNumberFormat="1" applyFont="1" applyFill="1" applyBorder="1" applyAlignment="1">
      <alignment horizontal="right"/>
    </xf>
    <xf numFmtId="4" fontId="52" fillId="36" borderId="47" xfId="0" applyNumberFormat="1" applyFont="1" applyFill="1" applyBorder="1" applyAlignment="1">
      <alignment horizontal="right" wrapText="1"/>
    </xf>
    <xf numFmtId="4" fontId="62" fillId="0" borderId="4" xfId="0" applyNumberFormat="1" applyFont="1" applyBorder="1"/>
    <xf numFmtId="4" fontId="62" fillId="0" borderId="71" xfId="0" applyNumberFormat="1" applyFont="1" applyBorder="1"/>
    <xf numFmtId="4" fontId="62" fillId="0" borderId="27" xfId="0" applyNumberFormat="1" applyFont="1" applyBorder="1" applyAlignment="1">
      <alignment horizontal="left"/>
    </xf>
    <xf numFmtId="1" fontId="65" fillId="2" borderId="69" xfId="0" applyNumberFormat="1" applyFont="1" applyFill="1" applyBorder="1" applyAlignment="1">
      <alignment horizontal="left" vertical="top" wrapText="1" indent="2"/>
    </xf>
    <xf numFmtId="4" fontId="52" fillId="36" borderId="4" xfId="0" applyNumberFormat="1" applyFont="1" applyFill="1" applyBorder="1" applyAlignment="1">
      <alignment horizontal="right"/>
    </xf>
    <xf numFmtId="4" fontId="52" fillId="36" borderId="4" xfId="0" applyNumberFormat="1" applyFont="1" applyFill="1" applyBorder="1" applyAlignment="1">
      <alignment horizontal="right" wrapText="1"/>
    </xf>
    <xf numFmtId="4" fontId="56" fillId="0" borderId="71" xfId="0" applyNumberFormat="1" applyFont="1" applyBorder="1"/>
    <xf numFmtId="4" fontId="66" fillId="2" borderId="94" xfId="3" applyNumberFormat="1" applyFont="1" applyFill="1" applyBorder="1" applyAlignment="1">
      <alignment horizontal="left" vertical="top" wrapText="1"/>
    </xf>
    <xf numFmtId="3" fontId="62" fillId="0" borderId="4" xfId="0" applyNumberFormat="1" applyFont="1" applyBorder="1"/>
    <xf numFmtId="3" fontId="62" fillId="0" borderId="71" xfId="0" applyNumberFormat="1" applyFont="1" applyBorder="1"/>
    <xf numFmtId="9" fontId="62" fillId="0" borderId="4" xfId="4" applyFont="1" applyBorder="1" applyAlignment="1">
      <alignment horizontal="left"/>
    </xf>
    <xf numFmtId="4" fontId="62" fillId="0" borderId="0" xfId="0" applyNumberFormat="1" applyFont="1" applyAlignment="1">
      <alignment horizontal="left"/>
    </xf>
    <xf numFmtId="4" fontId="56" fillId="0" borderId="26" xfId="0" applyNumberFormat="1" applyFont="1" applyBorder="1"/>
    <xf numFmtId="3" fontId="62" fillId="0" borderId="27" xfId="0" applyNumberFormat="1" applyFont="1" applyBorder="1"/>
    <xf numFmtId="3" fontId="56" fillId="0" borderId="27" xfId="0" applyNumberFormat="1" applyFont="1" applyBorder="1"/>
    <xf numFmtId="3" fontId="59" fillId="0" borderId="3" xfId="0" applyNumberFormat="1" applyFont="1" applyBorder="1" applyAlignment="1">
      <alignment horizontal="center" vertical="center"/>
    </xf>
    <xf numFmtId="3" fontId="66" fillId="2" borderId="27" xfId="3" applyNumberFormat="1" applyFont="1" applyFill="1" applyBorder="1" applyAlignment="1">
      <alignment horizontal="center" vertical="center"/>
    </xf>
    <xf numFmtId="3" fontId="66" fillId="2" borderId="28" xfId="3" applyNumberFormat="1" applyFont="1" applyFill="1" applyBorder="1" applyAlignment="1">
      <alignment horizontal="center" vertical="center"/>
    </xf>
    <xf numFmtId="4" fontId="57" fillId="2" borderId="102" xfId="0" applyNumberFormat="1" applyFont="1" applyFill="1" applyBorder="1" applyAlignment="1">
      <alignment vertical="top" wrapText="1"/>
    </xf>
    <xf numFmtId="167" fontId="62" fillId="0" borderId="70" xfId="4" applyNumberFormat="1" applyFont="1" applyBorder="1"/>
    <xf numFmtId="3" fontId="66" fillId="0" borderId="69" xfId="0" applyNumberFormat="1" applyFont="1" applyBorder="1" applyAlignment="1">
      <alignment horizontal="center" vertical="center" wrapText="1"/>
    </xf>
    <xf numFmtId="3" fontId="66" fillId="0" borderId="4" xfId="0" applyNumberFormat="1" applyFont="1" applyBorder="1" applyAlignment="1">
      <alignment horizontal="center" vertical="center" wrapText="1"/>
    </xf>
    <xf numFmtId="3" fontId="66" fillId="0" borderId="71" xfId="0" applyNumberFormat="1" applyFont="1" applyBorder="1" applyAlignment="1">
      <alignment horizontal="center" vertical="center" wrapText="1"/>
    </xf>
    <xf numFmtId="4" fontId="57" fillId="2" borderId="70" xfId="0" applyNumberFormat="1" applyFont="1" applyFill="1" applyBorder="1" applyAlignment="1">
      <alignment vertical="top" wrapText="1"/>
    </xf>
    <xf numFmtId="4" fontId="26" fillId="2" borderId="78" xfId="0" applyNumberFormat="1" applyFont="1" applyFill="1" applyBorder="1" applyAlignment="1">
      <alignment vertical="center" wrapText="1"/>
    </xf>
    <xf numFmtId="4" fontId="26" fillId="2" borderId="79" xfId="0" applyNumberFormat="1" applyFont="1" applyFill="1" applyBorder="1" applyAlignment="1">
      <alignment horizontal="center" vertical="center" wrapText="1"/>
    </xf>
    <xf numFmtId="4" fontId="52" fillId="36" borderId="70" xfId="0" applyNumberFormat="1" applyFont="1" applyFill="1" applyBorder="1" applyAlignment="1">
      <alignment horizontal="right"/>
    </xf>
    <xf numFmtId="167" fontId="62" fillId="0" borderId="71" xfId="4" applyNumberFormat="1" applyFont="1" applyBorder="1"/>
    <xf numFmtId="4" fontId="52" fillId="36" borderId="103" xfId="0" applyNumberFormat="1" applyFont="1" applyFill="1" applyBorder="1" applyAlignment="1">
      <alignment horizontal="right"/>
    </xf>
    <xf numFmtId="4" fontId="52" fillId="2" borderId="45" xfId="0" applyNumberFormat="1" applyFont="1" applyFill="1" applyBorder="1" applyAlignment="1">
      <alignment vertical="top" wrapText="1"/>
    </xf>
    <xf numFmtId="4" fontId="52" fillId="2" borderId="104" xfId="1" applyNumberFormat="1" applyFont="1" applyFill="1" applyBorder="1" applyAlignment="1">
      <alignment horizontal="right" vertical="top" wrapText="1"/>
    </xf>
    <xf numFmtId="1" fontId="26" fillId="2" borderId="105" xfId="0" applyNumberFormat="1" applyFont="1" applyFill="1" applyBorder="1" applyAlignment="1">
      <alignment horizontal="left" vertical="top" wrapText="1" indent="2"/>
    </xf>
    <xf numFmtId="4" fontId="52" fillId="2" borderId="4" xfId="0" applyNumberFormat="1" applyFont="1" applyFill="1" applyBorder="1" applyAlignment="1">
      <alignment vertical="top" wrapText="1"/>
    </xf>
    <xf numFmtId="4" fontId="52" fillId="2" borderId="71" xfId="1" applyNumberFormat="1" applyFont="1" applyFill="1" applyBorder="1" applyAlignment="1">
      <alignment horizontal="right" vertical="top" wrapText="1"/>
    </xf>
    <xf numFmtId="0" fontId="56" fillId="3" borderId="27" xfId="0" applyFont="1" applyFill="1" applyBorder="1"/>
    <xf numFmtId="0" fontId="56" fillId="40" borderId="27" xfId="0" applyFont="1" applyFill="1" applyBorder="1"/>
    <xf numFmtId="0" fontId="56" fillId="40" borderId="28" xfId="0" applyFont="1" applyFill="1" applyBorder="1"/>
    <xf numFmtId="0" fontId="69" fillId="2" borderId="68" xfId="0" applyFont="1" applyFill="1" applyBorder="1" applyAlignment="1">
      <alignment horizontal="left"/>
    </xf>
    <xf numFmtId="0" fontId="56" fillId="3" borderId="38" xfId="0" applyFont="1" applyFill="1" applyBorder="1"/>
    <xf numFmtId="0" fontId="56" fillId="40" borderId="0" xfId="0" applyFont="1" applyFill="1"/>
    <xf numFmtId="0" fontId="56" fillId="40" borderId="70" xfId="0" applyFont="1" applyFill="1" applyBorder="1"/>
    <xf numFmtId="0" fontId="65" fillId="40" borderId="68" xfId="0" applyFont="1" applyFill="1" applyBorder="1"/>
    <xf numFmtId="0" fontId="65" fillId="2" borderId="38" xfId="3" applyFont="1" applyFill="1" applyBorder="1" applyAlignment="1">
      <alignment horizontal="center" vertical="center" wrapText="1"/>
    </xf>
    <xf numFmtId="0" fontId="65" fillId="2" borderId="106" xfId="3" applyFont="1" applyFill="1" applyBorder="1" applyAlignment="1">
      <alignment horizontal="center" vertical="center" wrapText="1"/>
    </xf>
    <xf numFmtId="0" fontId="65" fillId="40" borderId="80" xfId="0" applyFont="1" applyFill="1" applyBorder="1"/>
    <xf numFmtId="0" fontId="57" fillId="40" borderId="17" xfId="0" applyFont="1" applyFill="1" applyBorder="1"/>
    <xf numFmtId="164" fontId="57" fillId="40" borderId="89" xfId="0" applyNumberFormat="1" applyFont="1" applyFill="1" applyBorder="1"/>
    <xf numFmtId="0" fontId="57" fillId="40" borderId="0" xfId="0" applyFont="1" applyFill="1"/>
    <xf numFmtId="0" fontId="57" fillId="40" borderId="70" xfId="0" applyFont="1" applyFill="1" applyBorder="1"/>
    <xf numFmtId="4" fontId="56" fillId="0" borderId="4" xfId="0" applyNumberFormat="1" applyFont="1" applyBorder="1"/>
    <xf numFmtId="0" fontId="65" fillId="40" borderId="78" xfId="0" applyFont="1" applyFill="1" applyBorder="1"/>
    <xf numFmtId="0" fontId="57" fillId="40" borderId="15" xfId="0" applyFont="1" applyFill="1" applyBorder="1"/>
    <xf numFmtId="0" fontId="57" fillId="40" borderId="79" xfId="0" applyFont="1" applyFill="1" applyBorder="1"/>
    <xf numFmtId="0" fontId="65" fillId="40" borderId="88" xfId="0" applyFont="1" applyFill="1" applyBorder="1"/>
    <xf numFmtId="166" fontId="57" fillId="40" borderId="84" xfId="1" applyNumberFormat="1" applyFont="1" applyFill="1" applyBorder="1"/>
    <xf numFmtId="166" fontId="57" fillId="40" borderId="107" xfId="1" applyNumberFormat="1" applyFont="1" applyFill="1" applyBorder="1"/>
    <xf numFmtId="0" fontId="62" fillId="0" borderId="0" xfId="0" applyFont="1"/>
    <xf numFmtId="0" fontId="59" fillId="0" borderId="0" xfId="0" applyFont="1"/>
    <xf numFmtId="0" fontId="62" fillId="0" borderId="26" xfId="0" applyFont="1" applyBorder="1"/>
    <xf numFmtId="0" fontId="59" fillId="0" borderId="27" xfId="0" applyFont="1" applyBorder="1" applyAlignment="1">
      <alignment horizontal="center"/>
    </xf>
    <xf numFmtId="0" fontId="59" fillId="0" borderId="28" xfId="0" applyFont="1" applyBorder="1" applyAlignment="1">
      <alignment horizontal="center"/>
    </xf>
    <xf numFmtId="0" fontId="62" fillId="0" borderId="68" xfId="0" applyFont="1" applyBorder="1"/>
    <xf numFmtId="0" fontId="66" fillId="0" borderId="68" xfId="0" applyFont="1" applyBorder="1" applyAlignment="1">
      <alignment horizontal="center" vertical="center"/>
    </xf>
    <xf numFmtId="0" fontId="66" fillId="0" borderId="0" xfId="0" applyFont="1" applyAlignment="1">
      <alignment horizontal="center" vertical="center"/>
    </xf>
    <xf numFmtId="0" fontId="66" fillId="0" borderId="14" xfId="0" applyFont="1" applyBorder="1" applyAlignment="1">
      <alignment horizontal="center" vertical="center"/>
    </xf>
    <xf numFmtId="0" fontId="66" fillId="0" borderId="70" xfId="0" applyFont="1" applyBorder="1" applyAlignment="1">
      <alignment horizontal="center" vertical="center"/>
    </xf>
    <xf numFmtId="0" fontId="66" fillId="0" borderId="68" xfId="0" applyFont="1" applyBorder="1"/>
    <xf numFmtId="3" fontId="62" fillId="0" borderId="68" xfId="0" applyNumberFormat="1" applyFont="1" applyBorder="1"/>
    <xf numFmtId="3" fontId="62" fillId="0" borderId="14" xfId="0" applyNumberFormat="1" applyFont="1" applyBorder="1"/>
    <xf numFmtId="9" fontId="62" fillId="0" borderId="0" xfId="4" applyFont="1" applyBorder="1"/>
    <xf numFmtId="9" fontId="62" fillId="0" borderId="70" xfId="4" applyFont="1" applyBorder="1"/>
    <xf numFmtId="0" fontId="55" fillId="0" borderId="0" xfId="0" applyFont="1" applyAlignment="1">
      <alignment horizontal="center" vertical="center"/>
    </xf>
    <xf numFmtId="0" fontId="62" fillId="0" borderId="14" xfId="0" applyFont="1" applyBorder="1"/>
    <xf numFmtId="9" fontId="62" fillId="0" borderId="0" xfId="0" applyNumberFormat="1" applyFont="1"/>
    <xf numFmtId="0" fontId="66" fillId="0" borderId="69" xfId="0" applyFont="1" applyBorder="1"/>
    <xf numFmtId="3" fontId="62" fillId="0" borderId="69" xfId="0" applyNumberFormat="1" applyFont="1" applyBorder="1"/>
    <xf numFmtId="3" fontId="62" fillId="0" borderId="75" xfId="0" applyNumberFormat="1" applyFont="1" applyBorder="1"/>
    <xf numFmtId="9" fontId="62" fillId="0" borderId="4" xfId="4" applyFont="1" applyBorder="1"/>
    <xf numFmtId="9" fontId="62" fillId="0" borderId="71" xfId="4" applyFont="1" applyBorder="1"/>
    <xf numFmtId="0" fontId="66" fillId="0" borderId="0" xfId="0" applyFont="1"/>
    <xf numFmtId="0" fontId="66" fillId="0" borderId="26" xfId="0" applyFont="1" applyBorder="1"/>
    <xf numFmtId="3" fontId="59" fillId="0" borderId="68" xfId="0" applyNumberFormat="1" applyFont="1" applyBorder="1" applyAlignment="1">
      <alignment horizontal="center" vertical="center"/>
    </xf>
    <xf numFmtId="0" fontId="66" fillId="0" borderId="30" xfId="0" applyFont="1" applyBorder="1" applyAlignment="1">
      <alignment horizontal="center" vertical="center"/>
    </xf>
    <xf numFmtId="9" fontId="62" fillId="0" borderId="30" xfId="4" applyFont="1" applyBorder="1"/>
    <xf numFmtId="9" fontId="62" fillId="0" borderId="14" xfId="4" applyFont="1" applyBorder="1"/>
    <xf numFmtId="9" fontId="62" fillId="0" borderId="77" xfId="4" applyFont="1" applyBorder="1"/>
    <xf numFmtId="9" fontId="62" fillId="0" borderId="75" xfId="4" applyFont="1" applyBorder="1"/>
    <xf numFmtId="0" fontId="72" fillId="0" borderId="68" xfId="0" applyFont="1" applyBorder="1"/>
    <xf numFmtId="168" fontId="62" fillId="0" borderId="30" xfId="0" applyNumberFormat="1" applyFont="1" applyBorder="1"/>
    <xf numFmtId="168" fontId="62" fillId="0" borderId="0" xfId="0" applyNumberFormat="1" applyFont="1"/>
    <xf numFmtId="168" fontId="62" fillId="0" borderId="14" xfId="0" applyNumberFormat="1" applyFont="1" applyBorder="1"/>
    <xf numFmtId="2" fontId="62" fillId="0" borderId="0" xfId="4" applyNumberFormat="1" applyFont="1"/>
    <xf numFmtId="2" fontId="62" fillId="0" borderId="0" xfId="0" applyNumberFormat="1" applyFont="1"/>
    <xf numFmtId="0" fontId="72" fillId="0" borderId="78" xfId="0" applyFont="1" applyBorder="1"/>
    <xf numFmtId="168" fontId="62" fillId="0" borderId="32" xfId="0" applyNumberFormat="1" applyFont="1" applyBorder="1"/>
    <xf numFmtId="168" fontId="62" fillId="0" borderId="15" xfId="0" applyNumberFormat="1" applyFont="1" applyBorder="1"/>
    <xf numFmtId="168" fontId="62" fillId="0" borderId="19" xfId="0" applyNumberFormat="1" applyFont="1" applyBorder="1"/>
    <xf numFmtId="9" fontId="62" fillId="0" borderId="15" xfId="4" applyFont="1" applyBorder="1"/>
    <xf numFmtId="9" fontId="62" fillId="0" borderId="79" xfId="4" applyFont="1" applyBorder="1"/>
    <xf numFmtId="168" fontId="62" fillId="0" borderId="31" xfId="0" applyNumberFormat="1" applyFont="1" applyBorder="1"/>
    <xf numFmtId="168" fontId="62" fillId="0" borderId="18" xfId="0" applyNumberFormat="1" applyFont="1" applyBorder="1"/>
    <xf numFmtId="167" fontId="62" fillId="0" borderId="0" xfId="0" applyNumberFormat="1" applyFont="1"/>
    <xf numFmtId="0" fontId="72" fillId="0" borderId="81" xfId="0" applyFont="1" applyBorder="1"/>
    <xf numFmtId="168" fontId="62" fillId="0" borderId="77" xfId="0" applyNumberFormat="1" applyFont="1" applyBorder="1"/>
    <xf numFmtId="168" fontId="62" fillId="0" borderId="4" xfId="0" applyNumberFormat="1" applyFont="1" applyBorder="1"/>
    <xf numFmtId="168" fontId="62" fillId="0" borderId="75" xfId="0" applyNumberFormat="1" applyFont="1" applyBorder="1"/>
    <xf numFmtId="3" fontId="62" fillId="0" borderId="0" xfId="4" applyNumberFormat="1" applyFont="1"/>
    <xf numFmtId="4" fontId="62" fillId="0" borderId="0" xfId="4" applyNumberFormat="1" applyFont="1"/>
    <xf numFmtId="0" fontId="72" fillId="0" borderId="0" xfId="0" applyFont="1"/>
    <xf numFmtId="9" fontId="56" fillId="0" borderId="0" xfId="0" applyNumberFormat="1" applyFont="1"/>
    <xf numFmtId="0" fontId="56" fillId="38" borderId="64" xfId="0" applyFont="1" applyFill="1" applyBorder="1" applyAlignment="1">
      <alignment horizontal="center" vertical="center" wrapText="1"/>
    </xf>
    <xf numFmtId="0" fontId="56" fillId="58" borderId="3" xfId="0" applyFont="1" applyFill="1" applyBorder="1" applyAlignment="1">
      <alignment horizontal="center" vertical="center" wrapText="1"/>
    </xf>
    <xf numFmtId="0" fontId="56" fillId="57" borderId="3" xfId="0" applyFont="1" applyFill="1" applyBorder="1" applyAlignment="1">
      <alignment horizontal="center" vertical="center" wrapText="1"/>
    </xf>
    <xf numFmtId="0" fontId="56" fillId="37" borderId="3" xfId="0" applyFont="1" applyFill="1" applyBorder="1" applyAlignment="1">
      <alignment horizontal="center" vertical="center" wrapText="1"/>
    </xf>
    <xf numFmtId="9" fontId="57" fillId="38" borderId="68" xfId="4" applyFont="1" applyFill="1" applyBorder="1" applyAlignment="1">
      <alignment horizontal="center" vertical="center"/>
    </xf>
    <xf numFmtId="9" fontId="57" fillId="58" borderId="66" xfId="4" applyFont="1" applyFill="1" applyBorder="1" applyAlignment="1">
      <alignment horizontal="center" vertical="center"/>
    </xf>
    <xf numFmtId="9" fontId="56" fillId="57" borderId="66" xfId="4" applyFont="1" applyFill="1" applyBorder="1" applyAlignment="1">
      <alignment horizontal="center" vertical="center"/>
    </xf>
    <xf numFmtId="9" fontId="56" fillId="37" borderId="70" xfId="4" applyFont="1" applyFill="1" applyBorder="1" applyAlignment="1">
      <alignment horizontal="center" vertical="center"/>
    </xf>
    <xf numFmtId="9" fontId="57" fillId="58" borderId="65" xfId="4" applyFont="1" applyFill="1" applyBorder="1" applyAlignment="1">
      <alignment horizontal="center" vertical="center"/>
    </xf>
    <xf numFmtId="9" fontId="56" fillId="57" borderId="65" xfId="4" applyFont="1" applyFill="1" applyBorder="1" applyAlignment="1">
      <alignment horizontal="center" vertical="center"/>
    </xf>
    <xf numFmtId="9" fontId="57" fillId="38" borderId="69" xfId="4" applyFont="1" applyFill="1" applyBorder="1" applyAlignment="1">
      <alignment horizontal="center" vertical="center"/>
    </xf>
    <xf numFmtId="9" fontId="57" fillId="58" borderId="73" xfId="4" applyFont="1" applyFill="1" applyBorder="1" applyAlignment="1">
      <alignment horizontal="center" vertical="center"/>
    </xf>
    <xf numFmtId="9" fontId="56" fillId="57" borderId="73" xfId="4" applyFont="1" applyFill="1" applyBorder="1" applyAlignment="1">
      <alignment horizontal="center" vertical="center"/>
    </xf>
    <xf numFmtId="9" fontId="56" fillId="37" borderId="71" xfId="4" applyFont="1" applyFill="1" applyBorder="1" applyAlignment="1">
      <alignment horizontal="center" vertical="center"/>
    </xf>
    <xf numFmtId="0" fontId="56" fillId="37" borderId="31" xfId="0" applyFont="1" applyFill="1" applyBorder="1" applyAlignment="1">
      <alignment horizontal="left" vertical="center"/>
    </xf>
    <xf numFmtId="0" fontId="56" fillId="37" borderId="30" xfId="0" applyFont="1" applyFill="1" applyBorder="1" applyAlignment="1">
      <alignment horizontal="left" vertical="center"/>
    </xf>
    <xf numFmtId="0" fontId="55" fillId="0" borderId="0" xfId="233" applyFont="1"/>
    <xf numFmtId="0" fontId="56" fillId="0" borderId="0" xfId="233" applyFont="1"/>
    <xf numFmtId="0" fontId="62" fillId="0" borderId="26" xfId="0" applyFont="1" applyBorder="1" applyAlignment="1">
      <alignment horizontal="center"/>
    </xf>
    <xf numFmtId="0" fontId="52" fillId="0" borderId="26" xfId="233" applyFont="1" applyBorder="1"/>
    <xf numFmtId="3" fontId="56" fillId="0" borderId="66" xfId="233" applyNumberFormat="1" applyFont="1" applyBorder="1" applyAlignment="1">
      <alignment horizontal="center"/>
    </xf>
    <xf numFmtId="3" fontId="56" fillId="0" borderId="0" xfId="233" applyNumberFormat="1" applyFont="1" applyAlignment="1">
      <alignment horizontal="center"/>
    </xf>
    <xf numFmtId="0" fontId="59" fillId="0" borderId="69" xfId="0" applyFont="1" applyBorder="1" applyAlignment="1">
      <alignment horizontal="center" vertical="center" wrapText="1"/>
    </xf>
    <xf numFmtId="0" fontId="59" fillId="0" borderId="71" xfId="0" applyFont="1" applyBorder="1" applyAlignment="1">
      <alignment horizontal="center" vertical="center" wrapText="1"/>
    </xf>
    <xf numFmtId="0" fontId="59" fillId="0" borderId="4" xfId="0" applyFont="1" applyBorder="1" applyAlignment="1">
      <alignment horizontal="center" vertical="center" wrapText="1"/>
    </xf>
    <xf numFmtId="0" fontId="52" fillId="0" borderId="68" xfId="233" applyFont="1" applyBorder="1"/>
    <xf numFmtId="3" fontId="56" fillId="0" borderId="65" xfId="233" applyNumberFormat="1" applyFont="1" applyBorder="1" applyAlignment="1">
      <alignment horizontal="center"/>
    </xf>
    <xf numFmtId="0" fontId="59" fillId="0" borderId="68" xfId="0" applyFont="1" applyBorder="1" applyAlignment="1">
      <alignment horizontal="center" vertical="center" wrapText="1"/>
    </xf>
    <xf numFmtId="3" fontId="62" fillId="0" borderId="68" xfId="0" applyNumberFormat="1" applyFont="1" applyBorder="1" applyAlignment="1">
      <alignment horizontal="center" vertical="center"/>
    </xf>
    <xf numFmtId="9" fontId="62" fillId="0" borderId="70" xfId="4" applyFont="1" applyBorder="1" applyAlignment="1">
      <alignment horizontal="center" vertical="center"/>
    </xf>
    <xf numFmtId="1" fontId="62" fillId="0" borderId="68" xfId="0" applyNumberFormat="1" applyFont="1" applyBorder="1" applyAlignment="1">
      <alignment horizontal="center" vertical="center"/>
    </xf>
    <xf numFmtId="1" fontId="62" fillId="0" borderId="0" xfId="0" applyNumberFormat="1" applyFont="1" applyAlignment="1">
      <alignment horizontal="center" vertical="center"/>
    </xf>
    <xf numFmtId="0" fontId="52" fillId="0" borderId="69" xfId="233" applyFont="1" applyBorder="1"/>
    <xf numFmtId="3" fontId="56" fillId="0" borderId="73" xfId="233" applyNumberFormat="1" applyFont="1" applyBorder="1" applyAlignment="1">
      <alignment horizontal="center"/>
    </xf>
    <xf numFmtId="9" fontId="62" fillId="0" borderId="71" xfId="4" applyFont="1" applyBorder="1" applyAlignment="1">
      <alignment horizontal="center" vertical="center"/>
    </xf>
    <xf numFmtId="1" fontId="62" fillId="0" borderId="69" xfId="0" applyNumberFormat="1" applyFont="1" applyBorder="1" applyAlignment="1">
      <alignment horizontal="center" vertical="center"/>
    </xf>
    <xf numFmtId="0" fontId="52" fillId="0" borderId="64" xfId="233" applyFont="1" applyBorder="1"/>
    <xf numFmtId="1" fontId="75" fillId="0" borderId="0" xfId="233" applyNumberFormat="1" applyFont="1" applyAlignment="1">
      <alignment horizontal="center" vertical="top"/>
    </xf>
    <xf numFmtId="0" fontId="56" fillId="0" borderId="27" xfId="0" applyFont="1" applyBorder="1"/>
    <xf numFmtId="0" fontId="52" fillId="0" borderId="26" xfId="165" applyFont="1" applyBorder="1"/>
    <xf numFmtId="0" fontId="59" fillId="0" borderId="0" xfId="0" applyFont="1" applyAlignment="1">
      <alignment horizontal="center"/>
    </xf>
    <xf numFmtId="0" fontId="59" fillId="0" borderId="70" xfId="0" applyFont="1" applyBorder="1" applyAlignment="1">
      <alignment horizontal="center"/>
    </xf>
    <xf numFmtId="0" fontId="62" fillId="0" borderId="0" xfId="0" applyFont="1" applyAlignment="1">
      <alignment horizontal="center" vertical="center"/>
    </xf>
    <xf numFmtId="0" fontId="52" fillId="0" borderId="68" xfId="165" applyFont="1" applyBorder="1"/>
    <xf numFmtId="0" fontId="59" fillId="0" borderId="68" xfId="0" applyFont="1" applyBorder="1"/>
    <xf numFmtId="0" fontId="62" fillId="0" borderId="70" xfId="0" applyFont="1" applyBorder="1" applyAlignment="1">
      <alignment horizontal="center" vertical="center"/>
    </xf>
    <xf numFmtId="0" fontId="52" fillId="0" borderId="69" xfId="165" applyFont="1" applyBorder="1"/>
    <xf numFmtId="0" fontId="59" fillId="0" borderId="0" xfId="0" applyFont="1" applyAlignment="1">
      <alignment horizontal="center" vertical="center"/>
    </xf>
    <xf numFmtId="0" fontId="59" fillId="0" borderId="70" xfId="0" applyFont="1" applyBorder="1" applyAlignment="1">
      <alignment horizontal="center" vertical="center"/>
    </xf>
    <xf numFmtId="0" fontId="59" fillId="0" borderId="69" xfId="0" applyFont="1" applyBorder="1"/>
    <xf numFmtId="2" fontId="62" fillId="0" borderId="4" xfId="0" applyNumberFormat="1" applyFont="1" applyBorder="1" applyAlignment="1">
      <alignment horizontal="center" vertical="center"/>
    </xf>
    <xf numFmtId="2" fontId="62" fillId="0" borderId="71" xfId="0" applyNumberFormat="1" applyFont="1" applyBorder="1" applyAlignment="1">
      <alignment horizontal="center" vertical="center"/>
    </xf>
    <xf numFmtId="0" fontId="56" fillId="0" borderId="26" xfId="0" applyFont="1" applyBorder="1"/>
    <xf numFmtId="0" fontId="59" fillId="0" borderId="68" xfId="0" applyFont="1" applyBorder="1" applyAlignment="1">
      <alignment horizontal="left"/>
    </xf>
    <xf numFmtId="0" fontId="62" fillId="0" borderId="0" xfId="0" applyFont="1" applyAlignment="1">
      <alignment horizontal="center"/>
    </xf>
    <xf numFmtId="0" fontId="62" fillId="0" borderId="70" xfId="0" applyFont="1" applyBorder="1" applyAlignment="1">
      <alignment horizontal="center"/>
    </xf>
    <xf numFmtId="0" fontId="59" fillId="0" borderId="69" xfId="0" applyFont="1" applyBorder="1" applyAlignment="1">
      <alignment horizontal="left"/>
    </xf>
    <xf numFmtId="2" fontId="62" fillId="0" borderId="4" xfId="0" applyNumberFormat="1" applyFont="1" applyBorder="1" applyAlignment="1">
      <alignment horizontal="center"/>
    </xf>
    <xf numFmtId="2" fontId="62" fillId="0" borderId="71" xfId="0" applyNumberFormat="1" applyFont="1" applyBorder="1" applyAlignment="1">
      <alignment horizontal="center"/>
    </xf>
    <xf numFmtId="0" fontId="63" fillId="0" borderId="64" xfId="233" applyFont="1" applyBorder="1"/>
    <xf numFmtId="1" fontId="63" fillId="0" borderId="66" xfId="233" applyNumberFormat="1" applyFont="1" applyBorder="1" applyAlignment="1">
      <alignment horizontal="center" vertical="top" wrapText="1"/>
    </xf>
    <xf numFmtId="3" fontId="63" fillId="0" borderId="66" xfId="233" applyNumberFormat="1" applyFont="1" applyBorder="1" applyAlignment="1">
      <alignment horizontal="center"/>
    </xf>
    <xf numFmtId="3" fontId="63" fillId="0" borderId="65" xfId="233" applyNumberFormat="1" applyFont="1" applyBorder="1" applyAlignment="1">
      <alignment horizontal="center"/>
    </xf>
    <xf numFmtId="3" fontId="63" fillId="0" borderId="73" xfId="233" applyNumberFormat="1" applyFont="1" applyBorder="1" applyAlignment="1">
      <alignment horizontal="center"/>
    </xf>
    <xf numFmtId="1" fontId="63" fillId="0" borderId="3" xfId="233" applyNumberFormat="1" applyFont="1" applyBorder="1" applyAlignment="1">
      <alignment horizontal="center" vertical="top"/>
    </xf>
    <xf numFmtId="0" fontId="56" fillId="36" borderId="0" xfId="0" applyFont="1" applyFill="1"/>
    <xf numFmtId="0" fontId="78" fillId="45" borderId="15" xfId="0" applyFont="1" applyFill="1" applyBorder="1"/>
    <xf numFmtId="0" fontId="79" fillId="36" borderId="17" xfId="0" applyFont="1" applyFill="1" applyBorder="1"/>
    <xf numFmtId="0" fontId="80" fillId="0" borderId="0" xfId="2" applyFont="1" applyAlignment="1" applyProtection="1"/>
    <xf numFmtId="0" fontId="81" fillId="46" borderId="53" xfId="0" applyFont="1" applyFill="1" applyBorder="1" applyAlignment="1">
      <alignment vertical="center" wrapText="1"/>
    </xf>
    <xf numFmtId="14" fontId="82" fillId="36" borderId="54" xfId="0" applyNumberFormat="1" applyFont="1" applyFill="1" applyBorder="1" applyAlignment="1">
      <alignment vertical="center" wrapText="1"/>
    </xf>
    <xf numFmtId="0" fontId="81" fillId="46" borderId="53" xfId="0" applyFont="1" applyFill="1" applyBorder="1" applyAlignment="1">
      <alignment horizontal="left" vertical="center" wrapText="1"/>
    </xf>
    <xf numFmtId="14" fontId="82" fillId="36" borderId="54" xfId="0" applyNumberFormat="1" applyFont="1" applyFill="1" applyBorder="1" applyAlignment="1">
      <alignment horizontal="left" vertical="center"/>
    </xf>
    <xf numFmtId="0" fontId="81" fillId="46" borderId="53" xfId="0" applyFont="1" applyFill="1" applyBorder="1" applyAlignment="1">
      <alignment horizontal="left" vertical="center"/>
    </xf>
    <xf numFmtId="0" fontId="81" fillId="46" borderId="55" xfId="0" applyFont="1" applyFill="1" applyBorder="1" applyAlignment="1">
      <alignment vertical="center" wrapText="1"/>
    </xf>
    <xf numFmtId="164" fontId="82" fillId="36" borderId="56" xfId="0" applyNumberFormat="1" applyFont="1" applyFill="1" applyBorder="1" applyAlignment="1">
      <alignment vertical="center" wrapText="1"/>
    </xf>
    <xf numFmtId="164" fontId="82" fillId="36" borderId="56" xfId="0" applyNumberFormat="1" applyFont="1" applyFill="1" applyBorder="1" applyAlignment="1">
      <alignment horizontal="left" vertical="center"/>
    </xf>
    <xf numFmtId="0" fontId="81" fillId="46" borderId="55" xfId="0" applyFont="1" applyFill="1" applyBorder="1" applyAlignment="1">
      <alignment horizontal="left" vertical="center"/>
    </xf>
    <xf numFmtId="1" fontId="82" fillId="36" borderId="56" xfId="0" applyNumberFormat="1" applyFont="1" applyFill="1" applyBorder="1" applyAlignment="1">
      <alignment horizontal="left"/>
    </xf>
    <xf numFmtId="0" fontId="82" fillId="36" borderId="0" xfId="0" applyFont="1" applyFill="1" applyAlignment="1">
      <alignment wrapText="1"/>
    </xf>
    <xf numFmtId="0" fontId="81" fillId="36" borderId="0" xfId="0" applyFont="1" applyFill="1" applyAlignment="1">
      <alignment horizontal="left" vertical="top" wrapText="1"/>
    </xf>
    <xf numFmtId="0" fontId="81" fillId="36" borderId="0" xfId="0" applyFont="1" applyFill="1" applyAlignment="1">
      <alignment vertical="top" wrapText="1"/>
    </xf>
    <xf numFmtId="0" fontId="83" fillId="36" borderId="0" xfId="0" applyFont="1" applyFill="1" applyAlignment="1">
      <alignment horizontal="left" vertical="top" wrapText="1"/>
    </xf>
    <xf numFmtId="0" fontId="75" fillId="36" borderId="0" xfId="0" applyFont="1" applyFill="1" applyAlignment="1">
      <alignment horizontal="left" vertical="top" wrapText="1"/>
    </xf>
    <xf numFmtId="0" fontId="82" fillId="36" borderId="0" xfId="0" applyFont="1" applyFill="1" applyAlignment="1">
      <alignment vertical="center"/>
    </xf>
    <xf numFmtId="0" fontId="82" fillId="36" borderId="0" xfId="0" applyFont="1" applyFill="1" applyAlignment="1">
      <alignment horizontal="left" vertical="top" wrapText="1"/>
    </xf>
    <xf numFmtId="0" fontId="82" fillId="36" borderId="0" xfId="0" applyFont="1" applyFill="1"/>
    <xf numFmtId="0" fontId="82" fillId="0" borderId="0" xfId="0" applyFont="1"/>
    <xf numFmtId="178" fontId="56" fillId="36" borderId="0" xfId="0" applyNumberFormat="1" applyFont="1" applyFill="1"/>
    <xf numFmtId="0" fontId="92" fillId="36" borderId="0" xfId="0" applyFont="1" applyFill="1"/>
    <xf numFmtId="0" fontId="93" fillId="36" borderId="0" xfId="0" applyFont="1" applyFill="1" applyAlignment="1">
      <alignment vertical="top"/>
    </xf>
    <xf numFmtId="0" fontId="75" fillId="36" borderId="0" xfId="0" applyFont="1" applyFill="1"/>
    <xf numFmtId="0" fontId="75" fillId="0" borderId="60" xfId="0" applyFont="1" applyBorder="1"/>
    <xf numFmtId="0" fontId="75" fillId="47" borderId="60" xfId="0" applyFont="1" applyFill="1" applyBorder="1"/>
    <xf numFmtId="178" fontId="75" fillId="0" borderId="60" xfId="0" applyNumberFormat="1" applyFont="1" applyBorder="1" applyAlignment="1">
      <alignment horizontal="center"/>
    </xf>
    <xf numFmtId="172" fontId="75" fillId="36" borderId="0" xfId="0" applyNumberFormat="1" applyFont="1" applyFill="1"/>
    <xf numFmtId="179" fontId="75" fillId="36" borderId="0" xfId="0" applyNumberFormat="1" applyFont="1" applyFill="1"/>
    <xf numFmtId="0" fontId="94" fillId="36" borderId="0" xfId="0" applyFont="1" applyFill="1" applyAlignment="1">
      <alignment vertical="top"/>
    </xf>
    <xf numFmtId="179" fontId="75" fillId="0" borderId="60" xfId="0" applyNumberFormat="1" applyFont="1" applyBorder="1" applyAlignment="1">
      <alignment horizontal="center"/>
    </xf>
    <xf numFmtId="179" fontId="75" fillId="47" borderId="60" xfId="0" applyNumberFormat="1" applyFont="1" applyFill="1" applyBorder="1"/>
    <xf numFmtId="179" fontId="75" fillId="48" borderId="60" xfId="0" applyNumberFormat="1" applyFont="1" applyFill="1" applyBorder="1"/>
    <xf numFmtId="180" fontId="75" fillId="48" borderId="60" xfId="0" applyNumberFormat="1" applyFont="1" applyFill="1" applyBorder="1"/>
    <xf numFmtId="180" fontId="75" fillId="0" borderId="60" xfId="0" applyNumberFormat="1" applyFont="1" applyBorder="1" applyAlignment="1">
      <alignment horizontal="center"/>
    </xf>
    <xf numFmtId="178" fontId="75" fillId="0" borderId="60" xfId="0" applyNumberFormat="1" applyFont="1" applyBorder="1" applyAlignment="1">
      <alignment vertical="center"/>
    </xf>
    <xf numFmtId="181" fontId="75" fillId="0" borderId="60" xfId="0" applyNumberFormat="1" applyFont="1" applyBorder="1" applyAlignment="1">
      <alignment horizontal="center"/>
    </xf>
    <xf numFmtId="0" fontId="75" fillId="36" borderId="0" xfId="0" applyFont="1" applyFill="1" applyAlignment="1">
      <alignment horizontal="left" vertical="top"/>
    </xf>
    <xf numFmtId="0" fontId="83" fillId="36" borderId="0" xfId="0" applyFont="1" applyFill="1" applyAlignment="1">
      <alignment vertical="top" wrapText="1"/>
    </xf>
    <xf numFmtId="0" fontId="93" fillId="36" borderId="0" xfId="0" applyFont="1" applyFill="1" applyAlignment="1">
      <alignment horizontal="left"/>
    </xf>
    <xf numFmtId="0" fontId="98" fillId="36" borderId="0" xfId="0" applyFont="1" applyFill="1" applyAlignment="1">
      <alignment vertical="top"/>
    </xf>
    <xf numFmtId="0" fontId="99" fillId="36" borderId="0" xfId="0" applyFont="1" applyFill="1" applyAlignment="1">
      <alignment horizontal="left" vertical="top"/>
    </xf>
    <xf numFmtId="0" fontId="75" fillId="36" borderId="16" xfId="0" applyFont="1" applyFill="1" applyBorder="1" applyAlignment="1">
      <alignment horizontal="left" vertical="top" wrapText="1"/>
    </xf>
    <xf numFmtId="0" fontId="100" fillId="36" borderId="16" xfId="0" applyFont="1" applyFill="1" applyBorder="1" applyAlignment="1">
      <alignment horizontal="left" vertical="top" wrapText="1"/>
    </xf>
    <xf numFmtId="0" fontId="75" fillId="47" borderId="60" xfId="0" applyFont="1" applyFill="1" applyBorder="1" applyAlignment="1">
      <alignment wrapText="1"/>
    </xf>
    <xf numFmtId="0" fontId="75" fillId="47" borderId="60" xfId="0" applyFont="1" applyFill="1" applyBorder="1" applyAlignment="1">
      <alignment vertical="top" wrapText="1"/>
    </xf>
    <xf numFmtId="0" fontId="75" fillId="47" borderId="60" xfId="0" applyFont="1" applyFill="1" applyBorder="1" applyAlignment="1">
      <alignment vertical="top"/>
    </xf>
    <xf numFmtId="0" fontId="55" fillId="36" borderId="0" xfId="0" applyFont="1" applyFill="1" applyAlignment="1">
      <alignment horizontal="right" vertical="top"/>
    </xf>
    <xf numFmtId="178" fontId="75" fillId="0" borderId="60" xfId="0" applyNumberFormat="1" applyFont="1" applyBorder="1" applyAlignment="1">
      <alignment horizontal="center" vertical="top"/>
    </xf>
    <xf numFmtId="0" fontId="103" fillId="36" borderId="0" xfId="0" applyFont="1" applyFill="1" applyAlignment="1">
      <alignment vertical="top" wrapText="1"/>
    </xf>
    <xf numFmtId="0" fontId="75" fillId="36" borderId="0" xfId="0" applyFont="1" applyFill="1" applyAlignment="1">
      <alignment vertical="top"/>
    </xf>
    <xf numFmtId="0" fontId="56" fillId="36" borderId="0" xfId="0" applyFont="1" applyFill="1" applyAlignment="1">
      <alignment horizontal="left" vertical="top" wrapText="1"/>
    </xf>
    <xf numFmtId="0" fontId="52" fillId="0" borderId="0" xfId="10" applyFont="1"/>
    <xf numFmtId="0" fontId="65" fillId="0" borderId="0" xfId="223" applyFont="1"/>
    <xf numFmtId="164" fontId="57" fillId="0" borderId="3" xfId="223" applyNumberFormat="1" applyFont="1" applyBorder="1"/>
    <xf numFmtId="1" fontId="65" fillId="0" borderId="3" xfId="223" applyNumberFormat="1" applyFont="1" applyBorder="1" applyAlignment="1">
      <alignment horizontal="right"/>
    </xf>
    <xf numFmtId="1" fontId="65" fillId="0" borderId="3" xfId="223" applyNumberFormat="1" applyFont="1" applyBorder="1" applyAlignment="1">
      <alignment horizontal="center"/>
    </xf>
    <xf numFmtId="164" fontId="52" fillId="0" borderId="65" xfId="223" applyNumberFormat="1" applyFont="1" applyBorder="1" applyAlignment="1">
      <alignment horizontal="left" indent="1"/>
    </xf>
    <xf numFmtId="4" fontId="108" fillId="0" borderId="0" xfId="223" applyNumberFormat="1" applyFont="1" applyAlignment="1">
      <alignment horizontal="right"/>
    </xf>
    <xf numFmtId="4" fontId="57" fillId="0" borderId="65" xfId="223" applyNumberFormat="1" applyFont="1" applyBorder="1" applyAlignment="1">
      <alignment horizontal="right"/>
    </xf>
    <xf numFmtId="4" fontId="57" fillId="0" borderId="66" xfId="223" applyNumberFormat="1" applyFont="1" applyBorder="1" applyAlignment="1">
      <alignment horizontal="right"/>
    </xf>
    <xf numFmtId="4" fontId="57" fillId="0" borderId="27" xfId="223" applyNumberFormat="1" applyFont="1" applyBorder="1" applyAlignment="1">
      <alignment horizontal="right"/>
    </xf>
    <xf numFmtId="4" fontId="52" fillId="0" borderId="65" xfId="223" applyNumberFormat="1" applyFont="1" applyBorder="1" applyAlignment="1">
      <alignment horizontal="right"/>
    </xf>
    <xf numFmtId="4" fontId="57" fillId="0" borderId="0" xfId="223" applyNumberFormat="1" applyFont="1" applyAlignment="1">
      <alignment horizontal="right"/>
    </xf>
    <xf numFmtId="164" fontId="52" fillId="0" borderId="65" xfId="223" applyNumberFormat="1" applyFont="1" applyBorder="1"/>
    <xf numFmtId="164" fontId="26" fillId="0" borderId="3" xfId="165" applyNumberFormat="1" applyFont="1" applyBorder="1"/>
    <xf numFmtId="4" fontId="110" fillId="0" borderId="3" xfId="223" applyNumberFormat="1" applyFont="1" applyBorder="1" applyAlignment="1">
      <alignment horizontal="right"/>
    </xf>
    <xf numFmtId="164" fontId="52" fillId="0" borderId="3" xfId="165" applyNumberFormat="1" applyFont="1" applyBorder="1"/>
    <xf numFmtId="4" fontId="57" fillId="0" borderId="3" xfId="223" applyNumberFormat="1" applyFont="1" applyBorder="1" applyAlignment="1">
      <alignment horizontal="right"/>
    </xf>
    <xf numFmtId="4" fontId="57" fillId="0" borderId="63" xfId="223" applyNumberFormat="1" applyFont="1" applyBorder="1" applyAlignment="1">
      <alignment horizontal="right"/>
    </xf>
    <xf numFmtId="164" fontId="26" fillId="0" borderId="66" xfId="165" applyNumberFormat="1" applyFont="1" applyBorder="1"/>
    <xf numFmtId="4" fontId="110" fillId="0" borderId="66" xfId="224" applyNumberFormat="1" applyFont="1" applyBorder="1" applyAlignment="1">
      <alignment horizontal="right"/>
    </xf>
    <xf numFmtId="4" fontId="110" fillId="0" borderId="66" xfId="224" applyNumberFormat="1" applyFont="1" applyFill="1" applyBorder="1" applyAlignment="1">
      <alignment horizontal="right"/>
    </xf>
    <xf numFmtId="164" fontId="26" fillId="0" borderId="3" xfId="165" applyNumberFormat="1" applyFont="1" applyBorder="1" applyAlignment="1">
      <alignment horizontal="left" vertical="top" wrapText="1"/>
    </xf>
    <xf numFmtId="4" fontId="57" fillId="0" borderId="26" xfId="224" applyNumberFormat="1" applyFont="1" applyFill="1" applyBorder="1" applyAlignment="1">
      <alignment horizontal="right" vertical="center"/>
    </xf>
    <xf numFmtId="4" fontId="57" fillId="0" borderId="3" xfId="224" applyNumberFormat="1" applyFont="1" applyFill="1" applyBorder="1" applyAlignment="1">
      <alignment horizontal="right" vertical="center"/>
    </xf>
    <xf numFmtId="4" fontId="57" fillId="0" borderId="64" xfId="224" applyNumberFormat="1" applyFont="1" applyFill="1" applyBorder="1" applyAlignment="1">
      <alignment horizontal="right" vertical="center"/>
    </xf>
    <xf numFmtId="4" fontId="57" fillId="0" borderId="27" xfId="224" applyNumberFormat="1" applyFont="1" applyFill="1" applyBorder="1" applyAlignment="1">
      <alignment horizontal="right" vertical="center"/>
    </xf>
    <xf numFmtId="4" fontId="57" fillId="0" borderId="28" xfId="224" applyNumberFormat="1" applyFont="1" applyFill="1" applyBorder="1" applyAlignment="1">
      <alignment horizontal="right" vertical="center"/>
    </xf>
    <xf numFmtId="164" fontId="26" fillId="0" borderId="3" xfId="165" applyNumberFormat="1" applyFont="1" applyBorder="1" applyAlignment="1">
      <alignment horizontal="left" vertical="top"/>
    </xf>
    <xf numFmtId="4" fontId="57" fillId="0" borderId="67" xfId="224" applyNumberFormat="1" applyFont="1" applyFill="1" applyBorder="1" applyAlignment="1">
      <alignment horizontal="right" vertical="center"/>
    </xf>
    <xf numFmtId="4" fontId="110" fillId="0" borderId="3" xfId="223" applyNumberFormat="1" applyFont="1" applyBorder="1" applyAlignment="1">
      <alignment horizontal="right" vertical="center"/>
    </xf>
    <xf numFmtId="0" fontId="57" fillId="0" borderId="0" xfId="223" applyFont="1"/>
    <xf numFmtId="0" fontId="111" fillId="0" borderId="0" xfId="9" applyFont="1" applyAlignment="1" applyProtection="1"/>
    <xf numFmtId="0" fontId="56" fillId="0" borderId="0" xfId="223" applyFont="1" applyAlignment="1">
      <alignment wrapText="1"/>
    </xf>
    <xf numFmtId="0" fontId="112" fillId="0" borderId="0" xfId="223" applyFont="1"/>
    <xf numFmtId="0" fontId="113" fillId="0" borderId="0" xfId="223" applyFont="1" applyAlignment="1">
      <alignment horizontal="left" wrapText="1"/>
    </xf>
    <xf numFmtId="0" fontId="113" fillId="0" borderId="0" xfId="223" applyFont="1"/>
    <xf numFmtId="0" fontId="113" fillId="0" borderId="0" xfId="223" applyFont="1" applyAlignment="1">
      <alignment wrapText="1"/>
    </xf>
    <xf numFmtId="0" fontId="67" fillId="0" borderId="0" xfId="165" applyFont="1"/>
    <xf numFmtId="0" fontId="113" fillId="0" borderId="0" xfId="223" applyFont="1" applyAlignment="1">
      <alignment vertical="center"/>
    </xf>
    <xf numFmtId="0" fontId="56" fillId="38" borderId="16" xfId="0" applyFont="1" applyFill="1" applyBorder="1"/>
    <xf numFmtId="0" fontId="56" fillId="37" borderId="16" xfId="0" applyFont="1" applyFill="1" applyBorder="1"/>
    <xf numFmtId="0" fontId="56" fillId="37" borderId="23" xfId="0" applyFont="1" applyFill="1" applyBorder="1"/>
    <xf numFmtId="0" fontId="56" fillId="37" borderId="22" xfId="0" applyFont="1" applyFill="1" applyBorder="1"/>
    <xf numFmtId="0" fontId="26" fillId="0" borderId="86" xfId="0" applyFont="1" applyBorder="1"/>
    <xf numFmtId="49" fontId="26" fillId="0" borderId="29" xfId="0" applyNumberFormat="1" applyFont="1" applyBorder="1" applyAlignment="1">
      <alignment horizontal="center"/>
    </xf>
    <xf numFmtId="0" fontId="26" fillId="0" borderId="29" xfId="0" applyFont="1" applyBorder="1"/>
    <xf numFmtId="0" fontId="26" fillId="60" borderId="29" xfId="0" applyFont="1" applyFill="1" applyBorder="1"/>
    <xf numFmtId="0" fontId="26" fillId="0" borderId="97" xfId="0" applyFont="1" applyBorder="1"/>
    <xf numFmtId="0" fontId="26" fillId="0" borderId="82" xfId="0" applyFont="1" applyBorder="1"/>
    <xf numFmtId="0" fontId="67" fillId="0" borderId="0" xfId="0" applyFont="1" applyAlignment="1">
      <alignment horizontal="right"/>
    </xf>
    <xf numFmtId="0" fontId="52" fillId="0" borderId="0" xfId="0" applyFont="1"/>
    <xf numFmtId="0" fontId="56" fillId="0" borderId="70" xfId="0" applyFont="1" applyBorder="1"/>
    <xf numFmtId="0" fontId="52" fillId="60" borderId="0" xfId="0" applyFont="1" applyFill="1"/>
    <xf numFmtId="0" fontId="52" fillId="0" borderId="70" xfId="0" applyFont="1" applyBorder="1"/>
    <xf numFmtId="0" fontId="52" fillId="36" borderId="82" xfId="16" applyFont="1" applyFill="1" applyBorder="1" applyAlignment="1">
      <alignment horizontal="left" indent="1"/>
    </xf>
    <xf numFmtId="171" fontId="52" fillId="36" borderId="0" xfId="16" applyNumberFormat="1" applyFont="1" applyFill="1" applyAlignment="1">
      <alignment horizontal="right"/>
    </xf>
    <xf numFmtId="171" fontId="52" fillId="60" borderId="0" xfId="16" applyNumberFormat="1" applyFont="1" applyFill="1" applyAlignment="1">
      <alignment horizontal="right"/>
    </xf>
    <xf numFmtId="171" fontId="52" fillId="36" borderId="70" xfId="16" applyNumberFormat="1" applyFont="1" applyFill="1" applyBorder="1" applyAlignment="1">
      <alignment horizontal="right"/>
    </xf>
    <xf numFmtId="0" fontId="26" fillId="36" borderId="82" xfId="16" applyFont="1" applyFill="1" applyBorder="1" applyAlignment="1">
      <alignment horizontal="left" indent="1"/>
    </xf>
    <xf numFmtId="171" fontId="26" fillId="36" borderId="0" xfId="16" applyNumberFormat="1" applyFont="1" applyFill="1" applyAlignment="1">
      <alignment horizontal="right"/>
    </xf>
    <xf numFmtId="171" fontId="26" fillId="60" borderId="0" xfId="16" applyNumberFormat="1" applyFont="1" applyFill="1" applyAlignment="1">
      <alignment horizontal="right"/>
    </xf>
    <xf numFmtId="171" fontId="26" fillId="36" borderId="70" xfId="16" applyNumberFormat="1" applyFont="1" applyFill="1" applyBorder="1" applyAlignment="1">
      <alignment horizontal="right"/>
    </xf>
    <xf numFmtId="0" fontId="52" fillId="36" borderId="0" xfId="16" applyFont="1" applyFill="1" applyAlignment="1"/>
    <xf numFmtId="0" fontId="52" fillId="60" borderId="0" xfId="16" applyFont="1" applyFill="1" applyAlignment="1"/>
    <xf numFmtId="0" fontId="52" fillId="36" borderId="70" xfId="16" applyFont="1" applyFill="1" applyBorder="1" applyAlignment="1"/>
    <xf numFmtId="0" fontId="52" fillId="36" borderId="82" xfId="16" applyFont="1" applyFill="1" applyBorder="1" applyAlignment="1">
      <alignment horizontal="left" wrapText="1" indent="1"/>
    </xf>
    <xf numFmtId="0" fontId="26" fillId="36" borderId="82" xfId="16" applyFont="1" applyFill="1" applyBorder="1" applyAlignment="1">
      <alignment horizontal="left" wrapText="1" indent="1"/>
    </xf>
    <xf numFmtId="0" fontId="26" fillId="0" borderId="82" xfId="0" applyFont="1" applyBorder="1" applyAlignment="1">
      <alignment horizontal="left"/>
    </xf>
    <xf numFmtId="0" fontId="52" fillId="0" borderId="16" xfId="0" applyFont="1" applyBorder="1"/>
    <xf numFmtId="0" fontId="26" fillId="0" borderId="16" xfId="0" applyFont="1" applyBorder="1"/>
    <xf numFmtId="0" fontId="26" fillId="60" borderId="16" xfId="0" applyFont="1" applyFill="1" applyBorder="1"/>
    <xf numFmtId="0" fontId="52" fillId="36" borderId="24" xfId="16" applyFont="1" applyFill="1" applyBorder="1" applyAlignment="1">
      <alignment horizontal="left" indent="1"/>
    </xf>
    <xf numFmtId="167" fontId="68" fillId="0" borderId="16" xfId="4" applyNumberFormat="1" applyFont="1" applyBorder="1"/>
    <xf numFmtId="167" fontId="68" fillId="60" borderId="16" xfId="4" applyNumberFormat="1" applyFont="1" applyFill="1" applyBorder="1"/>
    <xf numFmtId="0" fontId="26" fillId="36" borderId="85" xfId="16" applyFont="1" applyFill="1" applyBorder="1" applyAlignment="1">
      <alignment horizontal="left" indent="1"/>
    </xf>
    <xf numFmtId="171" fontId="26" fillId="36" borderId="4" xfId="16" applyNumberFormat="1" applyFont="1" applyFill="1" applyBorder="1" applyAlignment="1">
      <alignment horizontal="right"/>
    </xf>
    <xf numFmtId="171" fontId="26" fillId="60" borderId="4" xfId="16" applyNumberFormat="1" applyFont="1" applyFill="1" applyBorder="1" applyAlignment="1">
      <alignment horizontal="right"/>
    </xf>
    <xf numFmtId="171" fontId="26" fillId="36" borderId="71" xfId="16" applyNumberFormat="1" applyFont="1" applyFill="1" applyBorder="1" applyAlignment="1">
      <alignment horizontal="right"/>
    </xf>
    <xf numFmtId="0" fontId="26" fillId="36" borderId="0" xfId="16" applyFont="1" applyFill="1" applyAlignment="1">
      <alignment horizontal="left" indent="1"/>
    </xf>
    <xf numFmtId="3" fontId="26" fillId="0" borderId="0" xfId="0" quotePrefix="1" applyNumberFormat="1" applyFont="1" applyAlignment="1">
      <alignment horizontal="right"/>
    </xf>
    <xf numFmtId="3" fontId="26" fillId="0" borderId="0" xfId="0" applyNumberFormat="1" applyFont="1" applyAlignment="1">
      <alignment vertical="top"/>
    </xf>
    <xf numFmtId="3" fontId="26" fillId="0" borderId="0" xfId="0" applyNumberFormat="1" applyFont="1"/>
    <xf numFmtId="170" fontId="26" fillId="0" borderId="0" xfId="0" applyNumberFormat="1" applyFont="1"/>
    <xf numFmtId="0" fontId="26" fillId="36" borderId="24" xfId="16" applyFont="1" applyFill="1" applyBorder="1" applyAlignment="1">
      <alignment horizontal="left" indent="1"/>
    </xf>
    <xf numFmtId="0" fontId="67" fillId="0" borderId="0" xfId="0" applyFont="1"/>
    <xf numFmtId="3" fontId="52" fillId="0" borderId="0" xfId="0" applyNumberFormat="1" applyFont="1"/>
    <xf numFmtId="0" fontId="115" fillId="0" borderId="0" xfId="0" applyFont="1"/>
    <xf numFmtId="0" fontId="52" fillId="36" borderId="0" xfId="0" applyFont="1" applyFill="1"/>
    <xf numFmtId="0" fontId="116" fillId="36" borderId="0" xfId="9" applyFont="1" applyFill="1" applyAlignment="1" applyProtection="1"/>
    <xf numFmtId="14" fontId="117" fillId="36" borderId="0" xfId="0" applyNumberFormat="1" applyFont="1" applyFill="1" applyAlignment="1">
      <alignment horizontal="left"/>
    </xf>
    <xf numFmtId="0" fontId="79" fillId="36" borderId="31" xfId="0" applyFont="1" applyFill="1" applyBorder="1"/>
    <xf numFmtId="172" fontId="79" fillId="36" borderId="17" xfId="0" applyNumberFormat="1" applyFont="1" applyFill="1" applyBorder="1" applyAlignment="1">
      <alignment horizontal="center"/>
    </xf>
    <xf numFmtId="172" fontId="79" fillId="36" borderId="18" xfId="0" applyNumberFormat="1" applyFont="1" applyFill="1" applyBorder="1" applyAlignment="1">
      <alignment horizontal="center"/>
    </xf>
    <xf numFmtId="0" fontId="79" fillId="36" borderId="32" xfId="0" applyFont="1" applyFill="1" applyBorder="1"/>
    <xf numFmtId="172" fontId="79" fillId="36" borderId="15" xfId="0" applyNumberFormat="1" applyFont="1" applyFill="1" applyBorder="1" applyAlignment="1">
      <alignment horizontal="center"/>
    </xf>
    <xf numFmtId="172" fontId="79" fillId="36" borderId="19" xfId="0" applyNumberFormat="1" applyFont="1" applyFill="1" applyBorder="1" applyAlignment="1">
      <alignment horizontal="center"/>
    </xf>
    <xf numFmtId="0" fontId="63" fillId="36" borderId="31" xfId="0" applyFont="1" applyFill="1" applyBorder="1"/>
    <xf numFmtId="182" fontId="63" fillId="36" borderId="17" xfId="0" applyNumberFormat="1" applyFont="1" applyFill="1" applyBorder="1" applyAlignment="1">
      <alignment horizontal="center"/>
    </xf>
    <xf numFmtId="182" fontId="56" fillId="0" borderId="0" xfId="0" applyNumberFormat="1" applyFont="1" applyAlignment="1">
      <alignment horizontal="center"/>
    </xf>
    <xf numFmtId="182" fontId="63" fillId="36" borderId="18" xfId="0" applyNumberFormat="1" applyFont="1" applyFill="1" applyBorder="1" applyAlignment="1">
      <alignment horizontal="center"/>
    </xf>
    <xf numFmtId="0" fontId="62" fillId="0" borderId="3" xfId="0" applyFont="1" applyBorder="1" applyAlignment="1">
      <alignment horizontal="center"/>
    </xf>
    <xf numFmtId="0" fontId="63" fillId="36" borderId="30" xfId="0" applyFont="1" applyFill="1" applyBorder="1"/>
    <xf numFmtId="182" fontId="63" fillId="36" borderId="0" xfId="0" applyNumberFormat="1" applyFont="1" applyFill="1" applyAlignment="1">
      <alignment horizontal="center"/>
    </xf>
    <xf numFmtId="182" fontId="63" fillId="36" borderId="14" xfId="0" applyNumberFormat="1" applyFont="1" applyFill="1" applyBorder="1" applyAlignment="1">
      <alignment horizontal="center"/>
    </xf>
    <xf numFmtId="0" fontId="63" fillId="36" borderId="32" xfId="0" applyFont="1" applyFill="1" applyBorder="1"/>
    <xf numFmtId="182" fontId="63" fillId="36" borderId="15" xfId="0" applyNumberFormat="1" applyFont="1" applyFill="1" applyBorder="1" applyAlignment="1">
      <alignment horizontal="center"/>
    </xf>
    <xf numFmtId="182" fontId="63" fillId="36" borderId="19" xfId="0" applyNumberFormat="1" applyFont="1" applyFill="1" applyBorder="1" applyAlignment="1">
      <alignment horizontal="center"/>
    </xf>
    <xf numFmtId="14" fontId="79" fillId="36" borderId="0" xfId="0" applyNumberFormat="1" applyFont="1" applyFill="1" applyAlignment="1">
      <alignment horizontal="left"/>
    </xf>
    <xf numFmtId="0" fontId="59" fillId="0" borderId="16" xfId="0" applyFont="1" applyBorder="1"/>
    <xf numFmtId="0" fontId="59" fillId="60" borderId="16" xfId="0" applyFont="1" applyFill="1" applyBorder="1"/>
    <xf numFmtId="0" fontId="62" fillId="0" borderId="16" xfId="0" applyFont="1" applyBorder="1"/>
    <xf numFmtId="0" fontId="59" fillId="0" borderId="16" xfId="0" applyFont="1" applyBorder="1" applyAlignment="1">
      <alignment wrapText="1"/>
    </xf>
    <xf numFmtId="0" fontId="55" fillId="0" borderId="0" xfId="0" applyFont="1" applyAlignment="1">
      <alignment wrapText="1"/>
    </xf>
    <xf numFmtId="173" fontId="26" fillId="0" borderId="0" xfId="51" applyFont="1" applyAlignment="1" applyProtection="1">
      <alignment horizontal="center"/>
      <protection locked="0"/>
    </xf>
    <xf numFmtId="49" fontId="26" fillId="0" borderId="0" xfId="51" applyNumberFormat="1" applyFont="1" applyAlignment="1" applyProtection="1">
      <alignment horizontal="right"/>
      <protection locked="0"/>
    </xf>
    <xf numFmtId="173" fontId="52" fillId="0" borderId="0" xfId="51" applyFont="1" applyAlignment="1" applyProtection="1">
      <alignment horizontal="right"/>
      <protection locked="0"/>
    </xf>
    <xf numFmtId="175" fontId="52" fillId="0" borderId="0" xfId="51" applyNumberFormat="1" applyFont="1" applyAlignment="1" applyProtection="1">
      <alignment horizontal="right"/>
      <protection locked="0"/>
    </xf>
    <xf numFmtId="173" fontId="67" fillId="0" borderId="0" xfId="51" applyFont="1" applyAlignment="1" applyProtection="1">
      <alignment horizontal="right"/>
      <protection locked="0"/>
    </xf>
    <xf numFmtId="3" fontId="52" fillId="0" borderId="0" xfId="51" applyNumberFormat="1" applyFont="1" applyAlignment="1" applyProtection="1">
      <alignment horizontal="right"/>
      <protection locked="0"/>
    </xf>
    <xf numFmtId="173" fontId="52" fillId="0" borderId="0" xfId="51" applyFont="1" applyProtection="1">
      <protection locked="0"/>
    </xf>
    <xf numFmtId="173" fontId="67" fillId="0" borderId="0" xfId="51" applyFont="1" applyProtection="1">
      <protection locked="0"/>
    </xf>
    <xf numFmtId="164" fontId="52" fillId="0" borderId="0" xfId="51" applyNumberFormat="1" applyFont="1" applyAlignment="1" applyProtection="1">
      <alignment horizontal="right"/>
      <protection locked="0"/>
    </xf>
    <xf numFmtId="173" fontId="52" fillId="0" borderId="0" xfId="51" applyFont="1" applyAlignment="1" applyProtection="1">
      <alignment horizontal="right" vertical="top"/>
      <protection locked="0"/>
    </xf>
    <xf numFmtId="173" fontId="52" fillId="0" borderId="4" xfId="51" applyFont="1" applyBorder="1" applyAlignment="1" applyProtection="1">
      <alignment horizontal="right" vertical="top"/>
      <protection locked="0"/>
    </xf>
    <xf numFmtId="174" fontId="52" fillId="0" borderId="4" xfId="51" applyNumberFormat="1" applyFont="1" applyBorder="1" applyAlignment="1" applyProtection="1">
      <alignment vertical="top"/>
      <protection locked="0"/>
    </xf>
    <xf numFmtId="173" fontId="52" fillId="0" borderId="0" xfId="51" applyFont="1" applyAlignment="1" applyProtection="1">
      <alignment horizontal="left"/>
      <protection locked="0"/>
    </xf>
    <xf numFmtId="173" fontId="52" fillId="0" borderId="0" xfId="51" applyFont="1" applyAlignment="1" applyProtection="1">
      <alignment horizontal="left" vertical="top"/>
      <protection locked="0"/>
    </xf>
    <xf numFmtId="0" fontId="118" fillId="0" borderId="6" xfId="22" applyFont="1" applyAlignment="1">
      <alignment horizontal="right"/>
    </xf>
    <xf numFmtId="0" fontId="118" fillId="0" borderId="6" xfId="22" applyFont="1"/>
    <xf numFmtId="0" fontId="118" fillId="0" borderId="6" xfId="22" applyFont="1" applyAlignment="1">
      <alignment horizontal="right" wrapText="1"/>
    </xf>
    <xf numFmtId="0" fontId="56" fillId="0" borderId="0" xfId="0" applyFont="1" applyAlignment="1">
      <alignment horizontal="right"/>
    </xf>
    <xf numFmtId="165" fontId="56" fillId="0" borderId="0" xfId="1" applyNumberFormat="1" applyFont="1"/>
    <xf numFmtId="165" fontId="56" fillId="0" borderId="0" xfId="1" applyNumberFormat="1" applyFont="1" applyAlignment="1">
      <alignment horizontal="right"/>
    </xf>
    <xf numFmtId="4" fontId="66" fillId="40" borderId="86" xfId="3" applyNumberFormat="1" applyFont="1" applyFill="1" applyBorder="1" applyAlignment="1">
      <alignment horizontal="center" vertical="center" wrapText="1"/>
    </xf>
    <xf numFmtId="4" fontId="66" fillId="0" borderId="28" xfId="0" applyNumberFormat="1" applyFont="1" applyBorder="1" applyAlignment="1">
      <alignment horizontal="center" vertical="center" wrapText="1"/>
    </xf>
    <xf numFmtId="168" fontId="68" fillId="40" borderId="68" xfId="3" applyNumberFormat="1" applyFont="1" applyFill="1" applyBorder="1"/>
    <xf numFmtId="168" fontId="68" fillId="40" borderId="0" xfId="3" applyNumberFormat="1" applyFont="1" applyFill="1"/>
    <xf numFmtId="4" fontId="62" fillId="45" borderId="0" xfId="0" applyNumberFormat="1" applyFont="1" applyFill="1" applyAlignment="1">
      <alignment vertical="center"/>
    </xf>
    <xf numFmtId="9" fontId="62" fillId="0" borderId="0" xfId="4" applyFont="1" applyFill="1" applyBorder="1" applyAlignment="1">
      <alignment horizontal="center"/>
    </xf>
    <xf numFmtId="4" fontId="62" fillId="4" borderId="0" xfId="0" applyNumberFormat="1" applyFont="1" applyFill="1" applyAlignment="1">
      <alignment horizontal="center"/>
    </xf>
    <xf numFmtId="9" fontId="62" fillId="40" borderId="0" xfId="4" applyFont="1" applyFill="1" applyBorder="1" applyAlignment="1">
      <alignment horizontal="center"/>
    </xf>
    <xf numFmtId="9" fontId="62" fillId="40" borderId="70" xfId="4" applyFont="1" applyFill="1" applyBorder="1" applyAlignment="1">
      <alignment horizontal="center"/>
    </xf>
    <xf numFmtId="4" fontId="68" fillId="40" borderId="69" xfId="3" applyNumberFormat="1" applyFont="1" applyFill="1" applyBorder="1" applyAlignment="1">
      <alignment horizontal="center" vertical="center"/>
    </xf>
    <xf numFmtId="4" fontId="68" fillId="0" borderId="71" xfId="3" applyNumberFormat="1" applyFont="1" applyBorder="1" applyAlignment="1">
      <alignment horizontal="center" vertical="center"/>
    </xf>
    <xf numFmtId="4" fontId="66" fillId="56" borderId="4" xfId="0" applyNumberFormat="1" applyFont="1" applyFill="1" applyBorder="1"/>
    <xf numFmtId="4" fontId="62" fillId="4" borderId="4" xfId="0" applyNumberFormat="1" applyFont="1" applyFill="1" applyBorder="1"/>
    <xf numFmtId="9" fontId="62" fillId="40" borderId="4" xfId="4" applyFont="1" applyFill="1" applyBorder="1"/>
    <xf numFmtId="9" fontId="62" fillId="40" borderId="71" xfId="4" applyFont="1" applyFill="1" applyBorder="1"/>
    <xf numFmtId="4" fontId="65" fillId="0" borderId="63" xfId="3" applyNumberFormat="1" applyFont="1" applyBorder="1"/>
    <xf numFmtId="4" fontId="55" fillId="0" borderId="63" xfId="0" applyNumberFormat="1" applyFont="1" applyBorder="1"/>
    <xf numFmtId="4" fontId="66" fillId="0" borderId="63" xfId="3" applyNumberFormat="1" applyFont="1" applyBorder="1"/>
    <xf numFmtId="4" fontId="56" fillId="0" borderId="63" xfId="0" applyNumberFormat="1" applyFont="1" applyBorder="1"/>
    <xf numFmtId="4" fontId="66" fillId="0" borderId="72" xfId="3" applyNumberFormat="1" applyFont="1" applyBorder="1"/>
    <xf numFmtId="4" fontId="66" fillId="0" borderId="64" xfId="3" applyNumberFormat="1" applyFont="1" applyBorder="1"/>
    <xf numFmtId="167" fontId="56" fillId="0" borderId="70" xfId="4" applyNumberFormat="1" applyFont="1" applyBorder="1" applyAlignment="1">
      <alignment horizontal="center" vertical="center"/>
    </xf>
    <xf numFmtId="167" fontId="55" fillId="37" borderId="72" xfId="0" applyNumberFormat="1" applyFont="1" applyFill="1" applyBorder="1" applyAlignment="1">
      <alignment horizontal="center" vertical="center"/>
    </xf>
    <xf numFmtId="9" fontId="56" fillId="0" borderId="70" xfId="4" applyFont="1" applyBorder="1" applyAlignment="1">
      <alignment horizontal="center" vertical="center"/>
    </xf>
    <xf numFmtId="0" fontId="55" fillId="45" borderId="66" xfId="0" applyFont="1" applyFill="1" applyBorder="1" applyAlignment="1">
      <alignment horizontal="center" vertical="center"/>
    </xf>
    <xf numFmtId="0" fontId="55" fillId="45" borderId="73" xfId="0" applyFont="1" applyFill="1" applyBorder="1" applyAlignment="1">
      <alignment horizontal="center" vertical="center"/>
    </xf>
    <xf numFmtId="0" fontId="55" fillId="45" borderId="27" xfId="0" applyFont="1" applyFill="1" applyBorder="1" applyAlignment="1">
      <alignment horizontal="center" vertical="center" wrapText="1"/>
    </xf>
    <xf numFmtId="0" fontId="55" fillId="45" borderId="4" xfId="0" applyFont="1" applyFill="1" applyBorder="1" applyAlignment="1">
      <alignment horizontal="center" vertical="center" wrapText="1"/>
    </xf>
    <xf numFmtId="0" fontId="55" fillId="45" borderId="64" xfId="0" applyFont="1" applyFill="1" applyBorder="1" applyAlignment="1">
      <alignment horizontal="center" vertical="center"/>
    </xf>
    <xf numFmtId="0" fontId="55" fillId="45" borderId="72" xfId="0" applyFont="1" applyFill="1" applyBorder="1" applyAlignment="1">
      <alignment horizontal="center" vertical="center"/>
    </xf>
    <xf numFmtId="0" fontId="59" fillId="0" borderId="27" xfId="0" applyFont="1" applyBorder="1" applyAlignment="1">
      <alignment horizontal="center"/>
    </xf>
    <xf numFmtId="0" fontId="59" fillId="0" borderId="28" xfId="0" applyFont="1" applyBorder="1" applyAlignment="1">
      <alignment horizontal="center"/>
    </xf>
    <xf numFmtId="0" fontId="55" fillId="0" borderId="64" xfId="0" applyFont="1" applyBorder="1" applyAlignment="1">
      <alignment horizontal="center"/>
    </xf>
    <xf numFmtId="0" fontId="55" fillId="0" borderId="63" xfId="0" applyFont="1" applyBorder="1" applyAlignment="1">
      <alignment horizontal="center"/>
    </xf>
    <xf numFmtId="0" fontId="55" fillId="0" borderId="72" xfId="0" applyFont="1" applyBorder="1" applyAlignment="1">
      <alignment horizontal="center"/>
    </xf>
    <xf numFmtId="0" fontId="59" fillId="0" borderId="76" xfId="0" applyFont="1" applyBorder="1" applyAlignment="1">
      <alignment horizontal="center"/>
    </xf>
    <xf numFmtId="3" fontId="59" fillId="0" borderId="76" xfId="0" applyNumberFormat="1" applyFont="1" applyBorder="1" applyAlignment="1">
      <alignment horizontal="center"/>
    </xf>
    <xf numFmtId="3" fontId="62" fillId="0" borderId="27" xfId="0" applyNumberFormat="1" applyFont="1" applyBorder="1" applyAlignment="1">
      <alignment horizontal="center"/>
    </xf>
    <xf numFmtId="3" fontId="62" fillId="0" borderId="74" xfId="0" applyNumberFormat="1" applyFont="1" applyBorder="1" applyAlignment="1">
      <alignment horizontal="center"/>
    </xf>
    <xf numFmtId="0" fontId="59" fillId="0" borderId="26" xfId="0" applyFont="1" applyBorder="1" applyAlignment="1">
      <alignment horizontal="center"/>
    </xf>
    <xf numFmtId="0" fontId="59" fillId="0" borderId="74" xfId="0" applyFont="1" applyBorder="1" applyAlignment="1">
      <alignment horizontal="center"/>
    </xf>
    <xf numFmtId="3" fontId="59" fillId="0" borderId="26" xfId="0" applyNumberFormat="1" applyFont="1" applyBorder="1" applyAlignment="1">
      <alignment horizontal="center"/>
    </xf>
    <xf numFmtId="3" fontId="59" fillId="0" borderId="27" xfId="0" applyNumberFormat="1" applyFont="1" applyBorder="1" applyAlignment="1">
      <alignment horizontal="center"/>
    </xf>
    <xf numFmtId="0" fontId="56" fillId="37" borderId="24" xfId="0" applyFont="1" applyFill="1" applyBorder="1" applyAlignment="1">
      <alignment horizontal="left"/>
    </xf>
    <xf numFmtId="0" fontId="56" fillId="37" borderId="25" xfId="0" applyFont="1" applyFill="1" applyBorder="1" applyAlignment="1">
      <alignment horizontal="left"/>
    </xf>
    <xf numFmtId="0" fontId="56" fillId="38" borderId="24" xfId="0" applyFont="1" applyFill="1" applyBorder="1" applyAlignment="1">
      <alignment horizontal="left"/>
    </xf>
    <xf numFmtId="0" fontId="56" fillId="38" borderId="13" xfId="0" applyFont="1" applyFill="1" applyBorder="1" applyAlignment="1">
      <alignment horizontal="left"/>
    </xf>
    <xf numFmtId="0" fontId="56" fillId="38" borderId="25" xfId="0" applyFont="1" applyFill="1" applyBorder="1" applyAlignment="1">
      <alignment horizontal="left"/>
    </xf>
    <xf numFmtId="0" fontId="56" fillId="37" borderId="20" xfId="0" applyFont="1" applyFill="1" applyBorder="1" applyAlignment="1">
      <alignment horizontal="left"/>
    </xf>
    <xf numFmtId="0" fontId="56" fillId="37" borderId="21" xfId="0" applyFont="1" applyFill="1" applyBorder="1" applyAlignment="1">
      <alignment horizontal="left"/>
    </xf>
    <xf numFmtId="0" fontId="63" fillId="38" borderId="24" xfId="0" applyFont="1" applyFill="1" applyBorder="1" applyAlignment="1">
      <alignment horizontal="center"/>
    </xf>
    <xf numFmtId="0" fontId="63" fillId="38" borderId="13" xfId="0" applyFont="1" applyFill="1" applyBorder="1" applyAlignment="1">
      <alignment horizontal="center"/>
    </xf>
    <xf numFmtId="0" fontId="63" fillId="38" borderId="25" xfId="0" applyFont="1" applyFill="1" applyBorder="1" applyAlignment="1">
      <alignment horizontal="center"/>
    </xf>
    <xf numFmtId="0" fontId="64" fillId="38" borderId="31" xfId="2" applyFont="1" applyFill="1" applyBorder="1" applyAlignment="1">
      <alignment horizontal="center" vertical="center" wrapText="1"/>
    </xf>
    <xf numFmtId="0" fontId="64" fillId="38" borderId="17" xfId="2" applyFont="1" applyFill="1" applyBorder="1" applyAlignment="1">
      <alignment horizontal="center" vertical="center" wrapText="1"/>
    </xf>
    <xf numFmtId="0" fontId="64" fillId="38" borderId="18" xfId="2" applyFont="1" applyFill="1" applyBorder="1" applyAlignment="1">
      <alignment horizontal="center" vertical="center" wrapText="1"/>
    </xf>
    <xf numFmtId="0" fontId="64" fillId="38" borderId="30" xfId="2" applyFont="1" applyFill="1" applyBorder="1" applyAlignment="1">
      <alignment horizontal="center" vertical="center" wrapText="1"/>
    </xf>
    <xf numFmtId="0" fontId="64" fillId="38" borderId="0" xfId="2" applyFont="1" applyFill="1" applyBorder="1" applyAlignment="1">
      <alignment horizontal="center" vertical="center" wrapText="1"/>
    </xf>
    <xf numFmtId="0" fontId="64" fillId="38" borderId="14" xfId="2" applyFont="1" applyFill="1" applyBorder="1" applyAlignment="1">
      <alignment horizontal="center" vertical="center" wrapText="1"/>
    </xf>
    <xf numFmtId="0" fontId="64" fillId="38" borderId="32" xfId="2" applyFont="1" applyFill="1" applyBorder="1" applyAlignment="1">
      <alignment horizontal="center" vertical="center" wrapText="1"/>
    </xf>
    <xf numFmtId="0" fontId="64" fillId="38" borderId="15" xfId="2" applyFont="1" applyFill="1" applyBorder="1" applyAlignment="1">
      <alignment horizontal="center" vertical="center" wrapText="1"/>
    </xf>
    <xf numFmtId="0" fontId="64" fillId="38" borderId="19" xfId="2" applyFont="1" applyFill="1" applyBorder="1" applyAlignment="1">
      <alignment horizontal="center" vertical="center" wrapText="1"/>
    </xf>
    <xf numFmtId="0" fontId="63" fillId="38" borderId="24" xfId="0" applyFont="1" applyFill="1" applyBorder="1" applyAlignment="1">
      <alignment horizontal="left"/>
    </xf>
    <xf numFmtId="0" fontId="63" fillId="38" borderId="13" xfId="0" applyFont="1" applyFill="1" applyBorder="1" applyAlignment="1">
      <alignment horizontal="left"/>
    </xf>
    <xf numFmtId="0" fontId="63" fillId="38" borderId="25" xfId="0" applyFont="1" applyFill="1" applyBorder="1" applyAlignment="1">
      <alignment horizontal="left"/>
    </xf>
    <xf numFmtId="0" fontId="64" fillId="38" borderId="31" xfId="2" applyFont="1" applyFill="1" applyBorder="1" applyAlignment="1">
      <alignment horizontal="center" vertical="center"/>
    </xf>
    <xf numFmtId="0" fontId="64" fillId="38" borderId="17" xfId="2" applyFont="1" applyFill="1" applyBorder="1" applyAlignment="1">
      <alignment horizontal="center" vertical="center"/>
    </xf>
    <xf numFmtId="0" fontId="64" fillId="38" borderId="18" xfId="2" applyFont="1" applyFill="1" applyBorder="1" applyAlignment="1">
      <alignment horizontal="center" vertical="center"/>
    </xf>
    <xf numFmtId="0" fontId="64" fillId="38" borderId="30" xfId="2" applyFont="1" applyFill="1" applyBorder="1" applyAlignment="1">
      <alignment horizontal="center" vertical="center"/>
    </xf>
    <xf numFmtId="0" fontId="64" fillId="38" borderId="0" xfId="2" applyFont="1" applyFill="1" applyBorder="1" applyAlignment="1">
      <alignment horizontal="center" vertical="center"/>
    </xf>
    <xf numFmtId="0" fontId="64" fillId="38" borderId="14" xfId="2" applyFont="1" applyFill="1" applyBorder="1" applyAlignment="1">
      <alignment horizontal="center" vertical="center"/>
    </xf>
    <xf numFmtId="0" fontId="64" fillId="38" borderId="32" xfId="2" applyFont="1" applyFill="1" applyBorder="1" applyAlignment="1">
      <alignment horizontal="center" vertical="center"/>
    </xf>
    <xf numFmtId="0" fontId="64" fillId="38" borderId="15" xfId="2" applyFont="1" applyFill="1" applyBorder="1" applyAlignment="1">
      <alignment horizontal="center" vertical="center"/>
    </xf>
    <xf numFmtId="0" fontId="64" fillId="38" borderId="19" xfId="2" applyFont="1" applyFill="1" applyBorder="1" applyAlignment="1">
      <alignment horizontal="center" vertical="center"/>
    </xf>
    <xf numFmtId="0" fontId="56" fillId="37" borderId="31" xfId="0" applyFont="1" applyFill="1" applyBorder="1" applyAlignment="1">
      <alignment horizontal="center" vertical="center"/>
    </xf>
    <xf numFmtId="0" fontId="56" fillId="37" borderId="18" xfId="0" applyFont="1" applyFill="1" applyBorder="1" applyAlignment="1">
      <alignment horizontal="center" vertical="center"/>
    </xf>
    <xf numFmtId="0" fontId="56" fillId="37" borderId="30" xfId="0" applyFont="1" applyFill="1" applyBorder="1" applyAlignment="1">
      <alignment horizontal="center" vertical="center"/>
    </xf>
    <xf numFmtId="0" fontId="56" fillId="37" borderId="14" xfId="0" applyFont="1" applyFill="1" applyBorder="1" applyAlignment="1">
      <alignment horizontal="center" vertical="center"/>
    </xf>
    <xf numFmtId="0" fontId="56" fillId="37" borderId="32" xfId="0" applyFont="1" applyFill="1" applyBorder="1" applyAlignment="1">
      <alignment horizontal="center" vertical="center"/>
    </xf>
    <xf numFmtId="0" fontId="56" fillId="37" borderId="19" xfId="0" applyFont="1" applyFill="1" applyBorder="1" applyAlignment="1">
      <alignment horizontal="center" vertical="center"/>
    </xf>
    <xf numFmtId="4" fontId="62" fillId="0" borderId="27" xfId="0" applyNumberFormat="1" applyFont="1" applyBorder="1" applyAlignment="1">
      <alignment horizontal="left"/>
    </xf>
    <xf numFmtId="4" fontId="62" fillId="0" borderId="28" xfId="0" applyNumberFormat="1" applyFont="1" applyBorder="1" applyAlignment="1">
      <alignment horizontal="left"/>
    </xf>
    <xf numFmtId="9" fontId="62" fillId="0" borderId="4" xfId="4" applyFont="1" applyBorder="1" applyAlignment="1">
      <alignment horizontal="left"/>
    </xf>
    <xf numFmtId="9" fontId="62" fillId="0" borderId="71" xfId="4" applyFont="1" applyBorder="1" applyAlignment="1">
      <alignment horizontal="left"/>
    </xf>
    <xf numFmtId="4" fontId="62" fillId="0" borderId="26" xfId="0" applyNumberFormat="1" applyFont="1" applyBorder="1" applyAlignment="1">
      <alignment horizontal="left"/>
    </xf>
    <xf numFmtId="9" fontId="62" fillId="0" borderId="69" xfId="4" applyFont="1" applyBorder="1" applyAlignment="1">
      <alignment horizontal="left"/>
    </xf>
    <xf numFmtId="4" fontId="66" fillId="0" borderId="64" xfId="0" applyNumberFormat="1" applyFont="1" applyBorder="1" applyAlignment="1">
      <alignment horizontal="left"/>
    </xf>
    <xf numFmtId="4" fontId="66" fillId="0" borderId="72" xfId="0" applyNumberFormat="1" applyFont="1" applyBorder="1" applyAlignment="1">
      <alignment horizontal="left"/>
    </xf>
    <xf numFmtId="0" fontId="56" fillId="37" borderId="20" xfId="0" applyFont="1" applyFill="1" applyBorder="1"/>
    <xf numFmtId="0" fontId="56" fillId="37" borderId="80" xfId="0" applyFont="1" applyFill="1" applyBorder="1"/>
    <xf numFmtId="0" fontId="56" fillId="37" borderId="17" xfId="0" applyFont="1" applyFill="1" applyBorder="1" applyAlignment="1">
      <alignment horizontal="center" vertical="center"/>
    </xf>
    <xf numFmtId="0" fontId="56" fillId="37" borderId="0" xfId="0" applyFont="1" applyFill="1" applyAlignment="1">
      <alignment horizontal="center" vertical="center"/>
    </xf>
    <xf numFmtId="0" fontId="56" fillId="37" borderId="15" xfId="0" applyFont="1" applyFill="1" applyBorder="1" applyAlignment="1">
      <alignment horizontal="center" vertical="center"/>
    </xf>
    <xf numFmtId="0" fontId="56" fillId="37" borderId="24" xfId="0" applyFont="1" applyFill="1" applyBorder="1"/>
    <xf numFmtId="0" fontId="56" fillId="37" borderId="13" xfId="0" applyFont="1" applyFill="1" applyBorder="1"/>
    <xf numFmtId="0" fontId="56" fillId="38" borderId="16" xfId="0" applyFont="1" applyFill="1" applyBorder="1" applyAlignment="1">
      <alignment horizontal="left" vertical="center" wrapText="1"/>
    </xf>
    <xf numFmtId="0" fontId="63" fillId="38" borderId="16" xfId="0" applyFont="1" applyFill="1" applyBorder="1" applyAlignment="1">
      <alignment horizontal="center"/>
    </xf>
    <xf numFmtId="0" fontId="64" fillId="38" borderId="16" xfId="2" applyFont="1" applyFill="1" applyBorder="1" applyAlignment="1">
      <alignment horizontal="center" vertical="center" wrapText="1"/>
    </xf>
    <xf numFmtId="0" fontId="56" fillId="38" borderId="24" xfId="0" applyFont="1" applyFill="1" applyBorder="1" applyAlignment="1">
      <alignment horizontal="center" vertical="center"/>
    </xf>
    <xf numFmtId="0" fontId="56" fillId="38" borderId="13" xfId="0" applyFont="1" applyFill="1" applyBorder="1" applyAlignment="1">
      <alignment horizontal="center" vertical="center"/>
    </xf>
    <xf numFmtId="0" fontId="56" fillId="38" borderId="25" xfId="0" applyFont="1" applyFill="1" applyBorder="1" applyAlignment="1">
      <alignment horizontal="center" vertical="center"/>
    </xf>
    <xf numFmtId="0" fontId="63" fillId="38" borderId="24" xfId="0" applyFont="1" applyFill="1" applyBorder="1" applyAlignment="1">
      <alignment horizontal="center" vertical="center"/>
    </xf>
    <xf numFmtId="0" fontId="63" fillId="38" borderId="13" xfId="0" applyFont="1" applyFill="1" applyBorder="1" applyAlignment="1">
      <alignment horizontal="center" vertical="center"/>
    </xf>
    <xf numFmtId="0" fontId="63" fillId="38" borderId="25" xfId="0" applyFont="1" applyFill="1" applyBorder="1" applyAlignment="1">
      <alignment horizontal="center" vertical="center"/>
    </xf>
    <xf numFmtId="0" fontId="63" fillId="38" borderId="87" xfId="0" applyFont="1" applyFill="1" applyBorder="1" applyAlignment="1">
      <alignment horizontal="center" vertical="center"/>
    </xf>
    <xf numFmtId="0" fontId="59" fillId="0" borderId="64" xfId="0" applyFont="1" applyBorder="1" applyAlignment="1">
      <alignment horizontal="center" vertical="center"/>
    </xf>
    <xf numFmtId="0" fontId="59" fillId="0" borderId="72" xfId="0" applyFont="1" applyBorder="1" applyAlignment="1">
      <alignment horizontal="center" vertical="center"/>
    </xf>
    <xf numFmtId="0" fontId="62" fillId="0" borderId="26" xfId="0" applyFont="1" applyBorder="1" applyAlignment="1">
      <alignment horizontal="center"/>
    </xf>
    <xf numFmtId="0" fontId="62" fillId="0" borderId="69" xfId="0" applyFont="1" applyBorder="1" applyAlignment="1">
      <alignment horizontal="center"/>
    </xf>
    <xf numFmtId="0" fontId="59" fillId="59" borderId="64" xfId="0" applyFont="1" applyFill="1" applyBorder="1" applyAlignment="1">
      <alignment horizontal="center"/>
    </xf>
    <xf numFmtId="0" fontId="59" fillId="59" borderId="63" xfId="0" applyFont="1" applyFill="1" applyBorder="1" applyAlignment="1">
      <alignment horizontal="center"/>
    </xf>
    <xf numFmtId="0" fontId="59" fillId="59" borderId="72" xfId="0" applyFont="1" applyFill="1" applyBorder="1" applyAlignment="1">
      <alignment horizontal="center"/>
    </xf>
    <xf numFmtId="0" fontId="82" fillId="36" borderId="0" xfId="0" applyFont="1" applyFill="1" applyAlignment="1">
      <alignment horizontal="left" vertical="top" wrapText="1"/>
    </xf>
    <xf numFmtId="0" fontId="98" fillId="36" borderId="0" xfId="0" applyFont="1" applyFill="1" applyAlignment="1">
      <alignment vertical="top"/>
    </xf>
    <xf numFmtId="0" fontId="85" fillId="36" borderId="0" xfId="0" applyFont="1" applyFill="1" applyAlignment="1">
      <alignment horizontal="left" vertical="top" wrapText="1"/>
    </xf>
    <xf numFmtId="0" fontId="81" fillId="36" borderId="0" xfId="0" applyFont="1" applyFill="1" applyAlignment="1">
      <alignment horizontal="left" vertical="top" wrapText="1"/>
    </xf>
    <xf numFmtId="0" fontId="56" fillId="38" borderId="24" xfId="0" applyFont="1" applyFill="1" applyBorder="1" applyAlignment="1">
      <alignment horizontal="center"/>
    </xf>
    <xf numFmtId="0" fontId="56" fillId="38" borderId="13" xfId="0" applyFont="1" applyFill="1" applyBorder="1" applyAlignment="1">
      <alignment horizontal="center"/>
    </xf>
    <xf numFmtId="0" fontId="56" fillId="38" borderId="25" xfId="0" applyFont="1" applyFill="1" applyBorder="1" applyAlignment="1">
      <alignment horizontal="center"/>
    </xf>
    <xf numFmtId="0" fontId="56" fillId="37" borderId="31" xfId="0" applyFont="1" applyFill="1" applyBorder="1" applyAlignment="1">
      <alignment horizontal="left" vertical="center"/>
    </xf>
    <xf numFmtId="0" fontId="56" fillId="37" borderId="18" xfId="0" applyFont="1" applyFill="1" applyBorder="1" applyAlignment="1">
      <alignment horizontal="left" vertical="center"/>
    </xf>
    <xf numFmtId="0" fontId="56" fillId="37" borderId="30" xfId="0" applyFont="1" applyFill="1" applyBorder="1" applyAlignment="1">
      <alignment horizontal="left" vertical="center"/>
    </xf>
    <xf numFmtId="0" fontId="56" fillId="37" borderId="14" xfId="0" applyFont="1" applyFill="1" applyBorder="1" applyAlignment="1">
      <alignment horizontal="left" vertical="center"/>
    </xf>
    <xf numFmtId="0" fontId="56" fillId="37" borderId="32" xfId="0" applyFont="1" applyFill="1" applyBorder="1" applyAlignment="1">
      <alignment horizontal="left" vertical="center"/>
    </xf>
    <xf numFmtId="0" fontId="56" fillId="37" borderId="19" xfId="0" applyFont="1" applyFill="1" applyBorder="1" applyAlignment="1">
      <alignment horizontal="left" vertical="center"/>
    </xf>
    <xf numFmtId="0" fontId="64" fillId="38" borderId="31" xfId="2" applyFont="1" applyFill="1" applyBorder="1" applyAlignment="1">
      <alignment horizontal="center"/>
    </xf>
    <xf numFmtId="0" fontId="64" fillId="38" borderId="17" xfId="2" applyFont="1" applyFill="1" applyBorder="1" applyAlignment="1">
      <alignment horizontal="center"/>
    </xf>
    <xf numFmtId="0" fontId="64" fillId="38" borderId="18" xfId="2" applyFont="1" applyFill="1" applyBorder="1" applyAlignment="1">
      <alignment horizontal="center"/>
    </xf>
    <xf numFmtId="0" fontId="64" fillId="38" borderId="30" xfId="2" applyFont="1" applyFill="1" applyBorder="1" applyAlignment="1">
      <alignment horizontal="center"/>
    </xf>
    <xf numFmtId="0" fontId="64" fillId="38" borderId="0" xfId="2" applyFont="1" applyFill="1" applyBorder="1" applyAlignment="1">
      <alignment horizontal="center"/>
    </xf>
    <xf numFmtId="0" fontId="64" fillId="38" borderId="14" xfId="2" applyFont="1" applyFill="1" applyBorder="1" applyAlignment="1">
      <alignment horizontal="center"/>
    </xf>
    <xf numFmtId="0" fontId="64" fillId="38" borderId="32" xfId="2" applyFont="1" applyFill="1" applyBorder="1" applyAlignment="1">
      <alignment horizontal="center"/>
    </xf>
    <xf numFmtId="0" fontId="64" fillId="38" borderId="15" xfId="2" applyFont="1" applyFill="1" applyBorder="1" applyAlignment="1">
      <alignment horizontal="center"/>
    </xf>
    <xf numFmtId="0" fontId="64" fillId="38" borderId="19" xfId="2" applyFont="1" applyFill="1" applyBorder="1" applyAlignment="1">
      <alignment horizontal="center"/>
    </xf>
    <xf numFmtId="0" fontId="75" fillId="47" borderId="61" xfId="0" applyFont="1" applyFill="1" applyBorder="1" applyAlignment="1">
      <alignment horizontal="center" wrapText="1"/>
    </xf>
    <xf numFmtId="0" fontId="75" fillId="47" borderId="13" xfId="0" applyFont="1" applyFill="1" applyBorder="1" applyAlignment="1">
      <alignment horizontal="center" wrapText="1"/>
    </xf>
    <xf numFmtId="0" fontId="75" fillId="47" borderId="62" xfId="0" applyFont="1" applyFill="1" applyBorder="1" applyAlignment="1">
      <alignment horizontal="center" wrapText="1"/>
    </xf>
    <xf numFmtId="0" fontId="75" fillId="36" borderId="24" xfId="0" applyFont="1" applyFill="1" applyBorder="1" applyAlignment="1">
      <alignment horizontal="left" vertical="top"/>
    </xf>
    <xf numFmtId="0" fontId="75" fillId="36" borderId="13" xfId="0" applyFont="1" applyFill="1" applyBorder="1" applyAlignment="1">
      <alignment horizontal="left" vertical="top"/>
    </xf>
    <xf numFmtId="0" fontId="75" fillId="36" borderId="25" xfId="0" applyFont="1" applyFill="1" applyBorder="1" applyAlignment="1">
      <alignment horizontal="left" vertical="top"/>
    </xf>
    <xf numFmtId="0" fontId="75" fillId="36" borderId="24" xfId="0" applyFont="1" applyFill="1" applyBorder="1" applyAlignment="1">
      <alignment horizontal="left" vertical="top" wrapText="1"/>
    </xf>
    <xf numFmtId="0" fontId="75" fillId="36" borderId="13" xfId="0" applyFont="1" applyFill="1" applyBorder="1" applyAlignment="1">
      <alignment horizontal="left" vertical="top" wrapText="1"/>
    </xf>
    <xf numFmtId="0" fontId="75" fillId="36" borderId="25" xfId="0" applyFont="1" applyFill="1" applyBorder="1" applyAlignment="1">
      <alignment horizontal="left" vertical="top" wrapText="1"/>
    </xf>
    <xf numFmtId="0" fontId="100" fillId="36" borderId="24" xfId="0" applyFont="1" applyFill="1" applyBorder="1" applyAlignment="1">
      <alignment horizontal="left" vertical="top"/>
    </xf>
    <xf numFmtId="0" fontId="100" fillId="36" borderId="13" xfId="0" applyFont="1" applyFill="1" applyBorder="1" applyAlignment="1">
      <alignment horizontal="left" vertical="top"/>
    </xf>
    <xf numFmtId="0" fontId="100" fillId="36" borderId="25" xfId="0" applyFont="1" applyFill="1" applyBorder="1" applyAlignment="1">
      <alignment horizontal="left" vertical="top"/>
    </xf>
    <xf numFmtId="0" fontId="82" fillId="36" borderId="0" xfId="0" applyFont="1" applyFill="1" applyAlignment="1">
      <alignment horizontal="left" vertical="center" wrapText="1"/>
    </xf>
    <xf numFmtId="0" fontId="81" fillId="36" borderId="0" xfId="0" applyFont="1" applyFill="1" applyAlignment="1">
      <alignment vertical="top" wrapText="1"/>
    </xf>
    <xf numFmtId="0" fontId="99" fillId="36" borderId="0" xfId="0" applyFont="1" applyFill="1" applyAlignment="1">
      <alignment horizontal="left" vertical="top"/>
    </xf>
    <xf numFmtId="0" fontId="75" fillId="47" borderId="60" xfId="0" applyFont="1" applyFill="1" applyBorder="1" applyAlignment="1">
      <alignment vertical="center"/>
    </xf>
    <xf numFmtId="0" fontId="75" fillId="36" borderId="0" xfId="0" applyFont="1" applyFill="1" applyAlignment="1">
      <alignment horizontal="left" vertical="top" wrapText="1"/>
    </xf>
    <xf numFmtId="0" fontId="75" fillId="0" borderId="60" xfId="0" applyFont="1" applyBorder="1" applyAlignment="1">
      <alignment horizontal="center"/>
    </xf>
    <xf numFmtId="179" fontId="75" fillId="0" borderId="60" xfId="0" applyNumberFormat="1" applyFont="1" applyBorder="1" applyAlignment="1">
      <alignment horizontal="center"/>
    </xf>
    <xf numFmtId="0" fontId="75" fillId="47" borderId="60" xfId="0" applyFont="1" applyFill="1" applyBorder="1" applyAlignment="1">
      <alignment vertical="center" wrapText="1"/>
    </xf>
    <xf numFmtId="0" fontId="56" fillId="0" borderId="0" xfId="0" applyFont="1" applyAlignment="1">
      <alignment horizontal="left" vertical="top" wrapText="1"/>
    </xf>
    <xf numFmtId="0" fontId="90" fillId="36" borderId="0" xfId="0" applyFont="1" applyFill="1" applyAlignment="1">
      <alignment horizontal="left" vertical="top" wrapText="1"/>
    </xf>
    <xf numFmtId="0" fontId="90" fillId="0" borderId="0" xfId="0" applyFont="1" applyAlignment="1">
      <alignment horizontal="left" vertical="top" wrapText="1"/>
    </xf>
    <xf numFmtId="0" fontId="82" fillId="36" borderId="0" xfId="0" applyFont="1" applyFill="1" applyAlignment="1">
      <alignment vertical="top" wrapText="1"/>
    </xf>
    <xf numFmtId="0" fontId="83" fillId="36" borderId="0" xfId="0" applyFont="1" applyFill="1" applyAlignment="1">
      <alignment horizontal="left" vertical="top" wrapText="1"/>
    </xf>
    <xf numFmtId="0" fontId="91" fillId="0" borderId="0" xfId="0" applyFont="1" applyAlignment="1">
      <alignment horizontal="left" vertical="top" wrapText="1"/>
    </xf>
    <xf numFmtId="0" fontId="81" fillId="0" borderId="57" xfId="0" applyFont="1" applyBorder="1" applyAlignment="1">
      <alignment horizontal="left" vertical="top" wrapText="1"/>
    </xf>
    <xf numFmtId="0" fontId="81" fillId="0" borderId="58" xfId="0" applyFont="1" applyBorder="1" applyAlignment="1">
      <alignment horizontal="left" vertical="top" wrapText="1"/>
    </xf>
    <xf numFmtId="0" fontId="81" fillId="0" borderId="59" xfId="0" applyFont="1" applyBorder="1" applyAlignment="1">
      <alignment horizontal="left" vertical="top" wrapText="1"/>
    </xf>
    <xf numFmtId="0" fontId="75" fillId="0" borderId="0" xfId="0" applyFont="1" applyAlignment="1">
      <alignment horizontal="left" vertical="top" wrapText="1"/>
    </xf>
    <xf numFmtId="0" fontId="86" fillId="36" borderId="0" xfId="2" applyFont="1" applyFill="1" applyAlignment="1" applyProtection="1">
      <alignment horizontal="left" vertical="top" wrapText="1"/>
    </xf>
    <xf numFmtId="0" fontId="64" fillId="36" borderId="0" xfId="2" applyFont="1" applyFill="1" applyAlignment="1" applyProtection="1">
      <alignment horizontal="left" vertical="top" wrapText="1"/>
    </xf>
    <xf numFmtId="0" fontId="64" fillId="0" borderId="0" xfId="2" applyFont="1" applyAlignment="1" applyProtection="1">
      <alignment horizontal="left" vertical="top" wrapText="1"/>
    </xf>
    <xf numFmtId="0" fontId="56" fillId="37" borderId="21" xfId="0" applyFont="1" applyFill="1" applyBorder="1"/>
    <xf numFmtId="0" fontId="56" fillId="38" borderId="30" xfId="0" applyFont="1" applyFill="1" applyBorder="1" applyAlignment="1">
      <alignment horizontal="center"/>
    </xf>
    <xf numFmtId="0" fontId="56" fillId="38" borderId="0" xfId="0" applyFont="1" applyFill="1" applyAlignment="1">
      <alignment horizontal="center"/>
    </xf>
    <xf numFmtId="0" fontId="114" fillId="38" borderId="24" xfId="0" applyFont="1" applyFill="1" applyBorder="1"/>
    <xf numFmtId="0" fontId="114" fillId="38" borderId="13" xfId="0" applyFont="1" applyFill="1" applyBorder="1"/>
    <xf numFmtId="0" fontId="114" fillId="38" borderId="25" xfId="0" applyFont="1" applyFill="1" applyBorder="1"/>
    <xf numFmtId="172" fontId="59" fillId="36" borderId="66" xfId="0" applyNumberFormat="1" applyFont="1" applyFill="1" applyBorder="1" applyAlignment="1">
      <alignment horizontal="center" vertical="center" wrapText="1"/>
    </xf>
    <xf numFmtId="172" fontId="59" fillId="36" borderId="73" xfId="0" applyNumberFormat="1" applyFont="1" applyFill="1" applyBorder="1" applyAlignment="1">
      <alignment horizontal="center" vertical="center" wrapText="1"/>
    </xf>
    <xf numFmtId="0" fontId="56" fillId="38" borderId="30" xfId="0" applyFont="1" applyFill="1" applyBorder="1" applyAlignment="1">
      <alignment horizontal="center" wrapText="1"/>
    </xf>
    <xf numFmtId="0" fontId="56" fillId="38" borderId="0" xfId="0" applyFont="1" applyFill="1" applyAlignment="1">
      <alignment horizontal="center" wrapText="1"/>
    </xf>
    <xf numFmtId="0" fontId="64" fillId="38" borderId="24" xfId="2" applyFont="1" applyFill="1" applyBorder="1" applyAlignment="1">
      <alignment wrapText="1"/>
    </xf>
    <xf numFmtId="0" fontId="64" fillId="38" borderId="13" xfId="2" applyFont="1" applyFill="1" applyBorder="1" applyAlignment="1"/>
    <xf numFmtId="0" fontId="64" fillId="38" borderId="25" xfId="2" applyFont="1" applyFill="1" applyBorder="1" applyAlignment="1"/>
    <xf numFmtId="0" fontId="64" fillId="38" borderId="24" xfId="2" applyFont="1" applyFill="1" applyBorder="1" applyAlignment="1">
      <alignment horizontal="left" vertical="center" wrapText="1"/>
    </xf>
    <xf numFmtId="0" fontId="64" fillId="38" borderId="13" xfId="2" applyFont="1" applyFill="1" applyBorder="1" applyAlignment="1">
      <alignment horizontal="left" vertical="center"/>
    </xf>
    <xf numFmtId="0" fontId="64" fillId="38" borderId="25" xfId="2" applyFont="1" applyFill="1" applyBorder="1" applyAlignment="1">
      <alignment horizontal="left" vertical="center"/>
    </xf>
    <xf numFmtId="9" fontId="56" fillId="0" borderId="70" xfId="4" applyNumberFormat="1" applyFont="1" applyBorder="1" applyAlignment="1">
      <alignment horizontal="center" vertical="center"/>
    </xf>
  </cellXfs>
  <cellStyles count="248">
    <cellStyle name="20% - Accent1 2" xfId="171" xr:uid="{9191539A-E6AF-4D4B-8E5B-D04853915FF9}"/>
    <cellStyle name="20% - Accent1 3" xfId="172" xr:uid="{C481D747-B99A-436A-8D77-CEAAFB02D91E}"/>
    <cellStyle name="20% - Accent2 2" xfId="173" xr:uid="{90799367-B791-405D-8BD1-01E4E7868C6C}"/>
    <cellStyle name="20% - Accent2 3" xfId="174" xr:uid="{25A4E24E-547B-4962-A672-4ECE51F9B584}"/>
    <cellStyle name="20% - Accent3 2" xfId="175" xr:uid="{F4ED3C00-D4B3-4DE4-939C-3BC750F6DA52}"/>
    <cellStyle name="20% - Accent3 3" xfId="176" xr:uid="{C6D90379-36FF-45F6-8B0F-299B0352B8A9}"/>
    <cellStyle name="20% - Accent4 2" xfId="177" xr:uid="{51319AA8-92A8-4559-9DA8-A5ED23217A34}"/>
    <cellStyle name="20% - Accent4 3" xfId="178" xr:uid="{5395894D-F807-4F21-A3DE-C59465DE8197}"/>
    <cellStyle name="20% - Accent5 2" xfId="179" xr:uid="{79C7ADE0-8C0E-4EF3-8954-1C9F4E204321}"/>
    <cellStyle name="20% - Accent6 2" xfId="180" xr:uid="{C8A06616-8E80-45D1-A809-5507F6AB692B}"/>
    <cellStyle name="40% - Accent1 2" xfId="181" xr:uid="{85F73DBA-1187-4CFA-9B9A-6058A4A62CD0}"/>
    <cellStyle name="40% - Accent2 2" xfId="182" xr:uid="{D966285F-EE68-43F8-9FF6-33D8156F9D7E}"/>
    <cellStyle name="40% - Accent3 2" xfId="183" xr:uid="{F8C77350-9D70-4837-898F-DF060D90A85C}"/>
    <cellStyle name="40% - Accent3 3" xfId="184" xr:uid="{D146F5D3-C379-4DB5-839F-5AFF8F78A05B}"/>
    <cellStyle name="40% - Accent4 2" xfId="185" xr:uid="{B31BC54D-E0B9-40BB-A38C-B97130C03965}"/>
    <cellStyle name="40% - Accent5 2" xfId="186" xr:uid="{0955FCC8-17BE-4266-939F-B0865F4C19B5}"/>
    <cellStyle name="40% - Accent6 2" xfId="187" xr:uid="{67289F6F-42BB-43FF-A44D-F87D2D478F3C}"/>
    <cellStyle name="60% - Accent1 2" xfId="188" xr:uid="{8B71B312-2CE9-4A0D-A83A-307B3A6971AE}"/>
    <cellStyle name="60% - Accent2 2" xfId="189" xr:uid="{9450365B-7041-40C3-8AAE-FC42D24B09D9}"/>
    <cellStyle name="60% - Accent3 2" xfId="190" xr:uid="{CCB46878-AD78-4455-B31A-A67E5F2D9D96}"/>
    <cellStyle name="60% - Accent3 3" xfId="191" xr:uid="{82A3B6E2-72A8-4829-83B3-782E7C038787}"/>
    <cellStyle name="60% - Accent4 2" xfId="192" xr:uid="{D578898D-E0DD-4E48-B0B7-B61346CC4D3F}"/>
    <cellStyle name="60% - Accent4 3" xfId="193" xr:uid="{DB55F644-44A6-45FD-95D2-AA0353ECFAA6}"/>
    <cellStyle name="60% - Accent5 2" xfId="194" xr:uid="{F4074464-0B5B-46A9-9D2B-426FFD80E898}"/>
    <cellStyle name="60% - Accent6 2" xfId="195" xr:uid="{EB580D58-5AFE-449A-AD08-0E66FE07B268}"/>
    <cellStyle name="60% - Accent6 3" xfId="196" xr:uid="{3D6F2691-C098-4217-915A-C3A18C8ED76E}"/>
    <cellStyle name="Accent1 2" xfId="197" xr:uid="{2A092E0F-A54F-4D8E-B9FD-21D61BAB6556}"/>
    <cellStyle name="Accent2 2" xfId="198" xr:uid="{7318D158-E08F-464B-A07C-13A5D1210DA6}"/>
    <cellStyle name="Accent3 2" xfId="199" xr:uid="{10B46DDD-9996-4BF0-8343-73D71F0A3109}"/>
    <cellStyle name="Accent4 2" xfId="200" xr:uid="{0B04FF66-8943-4976-BDBE-886107A4E817}"/>
    <cellStyle name="Accent5 2" xfId="201" xr:uid="{C74E6C2B-5BB2-4B71-B594-51A519F07AE0}"/>
    <cellStyle name="Accent6 2" xfId="202" xr:uid="{58E46D8A-F434-47F3-81CB-7DF79A22E9D5}"/>
    <cellStyle name="ANCLAS,REZONES Y SUS PARTES,DE FUNDICION,DE HIERRO O DE ACERO" xfId="62" xr:uid="{9D612C24-EF0D-4A65-B6B5-1B321B1BDA75}"/>
    <cellStyle name="ANCLAS,REZONES Y SUS PARTES,DE FUNDICION,DE HIERRO O DE ACERO 2" xfId="63" xr:uid="{63341831-D9A2-4A16-9E6A-8B97228EA3DB}"/>
    <cellStyle name="ANCLAS,REZONES Y SUS PARTES,DE FUNDICION,DE HIERRO O DE ACERO 2 2" xfId="64" xr:uid="{8EA3DD7B-7334-4D7B-BAD9-36BC01DAA05A}"/>
    <cellStyle name="ANCLAS,REZONES Y SUS PARTES,DE FUNDICION,DE HIERRO O DE ACERO 2 2 2" xfId="65" xr:uid="{CE8C80D4-BF0C-430F-9693-E82F548E02E0}"/>
    <cellStyle name="ANCLAS,REZONES Y SUS PARTES,DE FUNDICION,DE HIERRO O DE ACERO 2 2 3" xfId="66" xr:uid="{7AEB6E70-13EB-4E9D-ADDF-A5636F2CE8D7}"/>
    <cellStyle name="ANCLAS,REZONES Y SUS PARTES,DE FUNDICION,DE HIERRO O DE ACERO 2 3" xfId="67" xr:uid="{46E6535C-6291-4093-918E-B15B9D4509A1}"/>
    <cellStyle name="ANCLAS,REZONES Y SUS PARTES,DE FUNDICION,DE HIERRO O DE ACERO 2 3 2" xfId="68" xr:uid="{F1DF5ED9-41ED-4F50-9584-B2618E5DB6FD}"/>
    <cellStyle name="ANCLAS,REZONES Y SUS PARTES,DE FUNDICION,DE HIERRO O DE ACERO 2 4" xfId="69" xr:uid="{936ED138-165F-4422-A167-A26104FCD525}"/>
    <cellStyle name="ANCLAS,REZONES Y SUS PARTES,DE FUNDICION,DE HIERRO O DE ACERO 3" xfId="70" xr:uid="{92624477-936F-4F55-8ED8-9B3F8CA70F30}"/>
    <cellStyle name="ANCLAS,REZONES Y SUS PARTES,DE FUNDICION,DE HIERRO O DE ACERO 3 2" xfId="71" xr:uid="{0ECAEC12-8C85-4003-9499-229CA5DA1EC9}"/>
    <cellStyle name="ANCLAS,REZONES Y SUS PARTES,DE FUNDICION,DE HIERRO O DE ACERO 4" xfId="72" xr:uid="{486B7773-416E-46C0-BF2F-096C19CDF92F}"/>
    <cellStyle name="Bad 2" xfId="203" xr:uid="{66A8CD18-A67A-4F1F-9FE3-63724F65DE79}"/>
    <cellStyle name="Calculation 2" xfId="204" xr:uid="{4A8EE597-5111-4F67-BD14-18CF35383B2C}"/>
    <cellStyle name="cells" xfId="73" xr:uid="{DE81FA5A-8449-4247-B465-EFAD4E0ECF91}"/>
    <cellStyle name="cells 2" xfId="74" xr:uid="{061CCD2D-BA9F-476D-9FE2-602F6F756894}"/>
    <cellStyle name="cells 3" xfId="75" xr:uid="{177C6EA9-B017-447F-B690-19572C6C9E4F}"/>
    <cellStyle name="Check Cell 2" xfId="205" xr:uid="{E27276FF-FEEA-4095-86C5-A7C8286DE887}"/>
    <cellStyle name="column field" xfId="76" xr:uid="{D4373201-0078-43D0-9FC2-3E6E30193A31}"/>
    <cellStyle name="column field 2" xfId="77" xr:uid="{DF7A3B9F-22A2-4453-B444-D0A72C792E2E}"/>
    <cellStyle name="column field 3" xfId="78" xr:uid="{43A83D2D-B684-47BE-927C-9ED4CA27C9DA}"/>
    <cellStyle name="Comma" xfId="1" builtinId="3"/>
    <cellStyle name="Comma 2" xfId="7" xr:uid="{BD3E0B71-BD47-4079-95A6-30D3A657E65F}"/>
    <cellStyle name="Comma 2 2" xfId="38" xr:uid="{83EC3CDB-DFBB-40CD-936E-ECFF04A11A9C}"/>
    <cellStyle name="Comma 2 2 2" xfId="80" xr:uid="{25758F27-C179-4ED1-933F-AD7FAAE0F47C}"/>
    <cellStyle name="Comma 2 2 3" xfId="56" xr:uid="{58C0821B-A7BB-4449-A2A0-D94AB341DD5C}"/>
    <cellStyle name="Comma 2 3" xfId="30" xr:uid="{CD564F9C-F3B7-420C-896E-8B176F2D37AB}"/>
    <cellStyle name="Comma 2 3 2" xfId="81" xr:uid="{8D009DF1-DCF8-4E1F-93A0-8CDB8653AC2E}"/>
    <cellStyle name="Comma 2 4" xfId="24" xr:uid="{B948CE6F-5370-49BB-8BCF-5B383F383002}"/>
    <cellStyle name="Comma 2 4 2" xfId="79" xr:uid="{134E92D7-5CB3-469C-AD3E-3C65328DD4B0}"/>
    <cellStyle name="Comma 3" xfId="8" xr:uid="{6DDAB50E-3BBE-445F-B9C3-6374E7DE5299}"/>
    <cellStyle name="Comma 3 2" xfId="34" xr:uid="{4C70B43F-8653-4741-AD28-3961C6BE0365}"/>
    <cellStyle name="Comma 3 2 2" xfId="83" xr:uid="{1CE91490-8293-45F0-9C09-6D836930B3DD}"/>
    <cellStyle name="Comma 3 2 3" xfId="235" xr:uid="{9182FF23-FE1F-4C55-94A9-F467992EF4F6}"/>
    <cellStyle name="Comma 3 3" xfId="25" xr:uid="{8FED1117-984D-4ED4-A88A-A8AB710859DD}"/>
    <cellStyle name="Comma 3 3 2" xfId="84" xr:uid="{E855F67B-BBDF-4957-88F2-AE73A2E71645}"/>
    <cellStyle name="Comma 3 4" xfId="82" xr:uid="{570F978B-8771-41BD-AAA8-2102FE69ABE3}"/>
    <cellStyle name="Comma 3 5" xfId="53" xr:uid="{94FE752B-4E60-4FC2-98DF-9EBBFAF311AF}"/>
    <cellStyle name="Comma 3 6" xfId="224" xr:uid="{85B4CA8F-1550-4F08-9FE5-0E57C43A6161}"/>
    <cellStyle name="Comma 4" xfId="17" xr:uid="{301983C4-237C-4E06-BED9-96E5AF163515}"/>
    <cellStyle name="Comma 4 2" xfId="35" xr:uid="{3094B150-AF7A-4B12-B4A2-028BC6ED8B0B}"/>
    <cellStyle name="Comma 4 2 2" xfId="86" xr:uid="{B4F16814-93A9-43B4-921E-606ADE24AB41}"/>
    <cellStyle name="Comma 4 3" xfId="26" xr:uid="{F07BCE9C-A8B4-4CF7-B689-183719E8FAFE}"/>
    <cellStyle name="Comma 4 3 2" xfId="87" xr:uid="{7C03271A-7F67-4E2C-84FB-96EFE23D92FA}"/>
    <cellStyle name="Comma 4 4" xfId="85" xr:uid="{EA11EF09-8F92-4EC1-8910-70F01670F940}"/>
    <cellStyle name="Comma 5" xfId="6" xr:uid="{42605487-64F0-48E7-BCBF-D19E26B5E0E4}"/>
    <cellStyle name="Comma 5 2" xfId="40" xr:uid="{13371E03-77F2-4DCC-BA81-B36EFFFF19EE}"/>
    <cellStyle name="Comma 5 2 2" xfId="89" xr:uid="{D2ACB328-A970-4F0B-B76B-0FAE6801D38C}"/>
    <cellStyle name="Comma 5 3" xfId="90" xr:uid="{8518966A-D156-4DED-B624-5F6ACE4DE914}"/>
    <cellStyle name="Comma 5 4" xfId="88" xr:uid="{4D0CD2D8-BE65-4A8C-8714-0598392B0C34}"/>
    <cellStyle name="Comma 5 5" xfId="232" xr:uid="{A7979150-FB84-4397-AEEE-82819EF7E8E7}"/>
    <cellStyle name="Comma 6" xfId="23" xr:uid="{938FA728-E89B-4D08-99E2-21DFE403BB11}"/>
    <cellStyle name="Comma 6 2" xfId="91" xr:uid="{16D63196-3CF5-4F23-8644-7A325F4C4C0E}"/>
    <cellStyle name="Comma 7" xfId="92" xr:uid="{62D0F501-1B8A-461F-9D7B-D1D139638DFA}"/>
    <cellStyle name="Comma 8" xfId="58" xr:uid="{65F2B72A-8282-40CC-8F3D-69B4EAAE84CC}"/>
    <cellStyle name="Comma 9" xfId="246" xr:uid="{05419AF5-1B67-46BB-802E-A73E3B8C7926}"/>
    <cellStyle name="Currency 2" xfId="239" xr:uid="{15B8EBE3-C0A9-4D49-9B41-3562A1251686}"/>
    <cellStyle name="Explanatory Text 2" xfId="206" xr:uid="{856E55B2-761A-4BA3-9946-A432925CF11F}"/>
    <cellStyle name="field" xfId="93" xr:uid="{2A98677E-1855-4981-B9B5-9C0963334E5F}"/>
    <cellStyle name="field 2" xfId="94" xr:uid="{0CC3DA65-B64A-48A0-8535-793FDBEB050F}"/>
    <cellStyle name="field 3" xfId="95" xr:uid="{28B37FA6-EF42-4690-82D5-2EB28DD0F9B1}"/>
    <cellStyle name="field names" xfId="96" xr:uid="{00D478CB-392A-4699-881A-8244847CB916}"/>
    <cellStyle name="field names 2" xfId="97" xr:uid="{F1A7C5C6-F8DF-4ABB-A15B-6E19968FBF50}"/>
    <cellStyle name="Followed Hyperlink 2" xfId="163" xr:uid="{59083AE9-8D1C-46A5-8B19-5A1AD08BA913}"/>
    <cellStyle name="footer" xfId="98" xr:uid="{4D65A889-85F9-400A-AC44-8CAB08B1812C}"/>
    <cellStyle name="footer 2" xfId="99" xr:uid="{524FBDFB-E8A9-43FC-ACC0-3B85AE63F108}"/>
    <cellStyle name="Good 2" xfId="207" xr:uid="{6A967131-96C3-47B5-B4B3-C571FDA8C616}"/>
    <cellStyle name="heading" xfId="100" xr:uid="{B86927A1-4258-410D-A12F-381E5539B3F3}"/>
    <cellStyle name="Heading 1" xfId="21" builtinId="16"/>
    <cellStyle name="Heading 1 2" xfId="18" xr:uid="{333B5ACA-51C8-479D-ADBB-B35E16E021C3}"/>
    <cellStyle name="Heading 1 2 2" xfId="59" xr:uid="{B8F79342-50B2-422E-A157-E51E6FEBC9C2}"/>
    <cellStyle name="Heading 1 2 3" xfId="208" xr:uid="{FEFD7EF9-1FB2-4A34-BBFD-CD74AAD78DBA}"/>
    <cellStyle name="Heading 1 3" xfId="229" xr:uid="{4FD89A1D-F928-4B79-8548-E753002F2F4F}"/>
    <cellStyle name="Heading 1 4" xfId="241" xr:uid="{B833BC28-CF33-43F5-8DF5-0553CB3D5831}"/>
    <cellStyle name="Heading 2 2" xfId="60" xr:uid="{9CA1A5EA-861F-4D61-BC93-8C93F297C0CA}"/>
    <cellStyle name="Heading 2 2 2" xfId="209" xr:uid="{C67DF39C-6D62-4709-B3F3-9CB4987AA60A}"/>
    <cellStyle name="Heading 2 3" xfId="242" xr:uid="{8AD9F6B0-782C-49FD-A8DA-CD5684C32F2A}"/>
    <cellStyle name="Heading 3" xfId="22" builtinId="18"/>
    <cellStyle name="Heading 3 2" xfId="61" xr:uid="{DA68ECFC-84FB-4F0A-B95C-ED57804B41A4}"/>
    <cellStyle name="Heading 3 2 2" xfId="210" xr:uid="{54888392-0A29-48EB-B2CB-E8BBFB64F412}"/>
    <cellStyle name="Heading 3 3" xfId="243" xr:uid="{29C956A1-5DDD-4F40-AD9A-90CF0577B34A}"/>
    <cellStyle name="Heading 4 2" xfId="211" xr:uid="{EC082181-E932-4E0A-91DB-12CE5CB5359A}"/>
    <cellStyle name="Heading 4 3" xfId="245" xr:uid="{B9A44BC2-3432-4AC9-A706-E2833651A0A2}"/>
    <cellStyle name="heading 5" xfId="101" xr:uid="{87FEEE36-0CC1-43E2-B121-7E3D7D70523F}"/>
    <cellStyle name="Headings" xfId="102" xr:uid="{4C199CC1-7DCA-44F4-89DE-B2CA4F3CBB9A}"/>
    <cellStyle name="Headings 2" xfId="103" xr:uid="{0284BDF7-5B05-439C-8D3C-418E83016CD1}"/>
    <cellStyle name="Headings 3" xfId="104" xr:uid="{46D07C58-4F40-4F1C-9E56-5EB95DF1F13A}"/>
    <cellStyle name="Hyperlink" xfId="2" builtinId="8"/>
    <cellStyle name="Hyperlink 2" xfId="20" xr:uid="{6D50C3A6-C034-4704-A55B-7C9CB2D58E63}"/>
    <cellStyle name="Hyperlink 2 2" xfId="42" xr:uid="{9048C07B-DE0D-42EA-AC80-28E831525425}"/>
    <cellStyle name="Hyperlink 2 2 2" xfId="108" xr:uid="{4A017A3C-F9BD-4CCF-AD77-99B8BE6947C9}"/>
    <cellStyle name="Hyperlink 2 2 3" xfId="107" xr:uid="{B2A8DFEA-E011-4372-A3C7-01070D45E54B}"/>
    <cellStyle name="Hyperlink 2 3" xfId="109" xr:uid="{B0C69D43-3A13-43EB-ABA5-19B5CA5E5CAF}"/>
    <cellStyle name="Hyperlink 2 4" xfId="106" xr:uid="{68FA6845-C715-4AC9-BF17-1E2528C8E137}"/>
    <cellStyle name="Hyperlink 2 5" xfId="247" xr:uid="{55E7A742-3DCC-48AD-998F-EC2736C79806}"/>
    <cellStyle name="Hyperlink 3" xfId="9" xr:uid="{591F0440-85C0-4DA1-BEB6-3C00C74F6108}"/>
    <cellStyle name="Hyperlink 3 2" xfId="44" xr:uid="{E278A834-A708-405F-A9BF-32F20837EBA5}"/>
    <cellStyle name="Hyperlink 3 2 2" xfId="111" xr:uid="{B8810B26-5EF6-414C-9218-2143AE895EE8}"/>
    <cellStyle name="Hyperlink 3 2 3" xfId="228" xr:uid="{DEBBCE86-EBD3-4BF9-9393-640A13C931E5}"/>
    <cellStyle name="Hyperlink 3 3" xfId="43" xr:uid="{7C0D05E5-9B96-4CD9-8BD9-67D17ED0A589}"/>
    <cellStyle name="Hyperlink 3 4" xfId="110" xr:uid="{F9D57F22-6BD6-4751-AF9F-E5BA40140CF5}"/>
    <cellStyle name="Hyperlink 4" xfId="41" xr:uid="{010631F9-27DA-4DD3-95EC-78B1B18BC082}"/>
    <cellStyle name="Hyperlink 4 2" xfId="112" xr:uid="{60B5A1B8-2915-4517-97BA-BA6A7F1FC082}"/>
    <cellStyle name="Hyperlink 4 3" xfId="225" xr:uid="{8FC166EC-4FAE-4C45-B6F0-17C4064907DE}"/>
    <cellStyle name="Hyperlink 5" xfId="105" xr:uid="{24650F43-D867-4081-A9A6-BC8233A3DC30}"/>
    <cellStyle name="Hyperlink 6" xfId="52" xr:uid="{D35E21AA-5D20-44D0-93ED-6420EBAB654C}"/>
    <cellStyle name="Hyperlink 7" xfId="244" xr:uid="{D59132F8-DCF3-4D49-923E-7654CCEF3AC7}"/>
    <cellStyle name="Input 2" xfId="212" xr:uid="{8F75097F-4ED9-40EA-B9B2-67EF81C10E94}"/>
    <cellStyle name="Linked Cell 2" xfId="213" xr:uid="{8058BE3C-AC03-4D57-A82E-D9ECD2428A4A}"/>
    <cellStyle name="Neutral 2" xfId="214" xr:uid="{8589360B-B072-4E6A-91F8-5DF5B9C74111}"/>
    <cellStyle name="Normal" xfId="0" builtinId="0"/>
    <cellStyle name="Normal 10" xfId="113" xr:uid="{80FB3175-0CCF-4837-A594-28DF0D3CA0EA}"/>
    <cellStyle name="Normal 10 2" xfId="230" xr:uid="{2C453AAE-49FE-41A5-B43B-205F992D4498}"/>
    <cellStyle name="Normal 11" xfId="57" xr:uid="{348A5456-04C3-49D4-9260-BEB0017C7C7A}"/>
    <cellStyle name="Normal 12" xfId="240" xr:uid="{4BA6C254-2F0B-4E56-955A-614E0811CE64}"/>
    <cellStyle name="Normal 16" xfId="114" xr:uid="{6CEA0E7A-56FF-43DF-A8DE-21083646D109}"/>
    <cellStyle name="Normal 16 2" xfId="115" xr:uid="{5D5166AB-A8FF-4239-BF0C-262E285E0BC6}"/>
    <cellStyle name="Normal 17" xfId="169" xr:uid="{4476E9F6-23A7-485E-AB44-D30207B0F81D}"/>
    <cellStyle name="Normal 2" xfId="10" xr:uid="{2C401C6A-606B-4E9F-8F2A-2183528D1B0F}"/>
    <cellStyle name="Normal 2 2" xfId="3" xr:uid="{77BA962C-E7F5-4081-B586-BBAF4A547296}"/>
    <cellStyle name="Normal 2 2 2" xfId="16" xr:uid="{3783F927-964A-493E-9E7C-2EE8F78D1C09}"/>
    <cellStyle name="Normal 2 2 2 2" xfId="37" xr:uid="{B19FDC6A-324C-4B27-8FFF-9D541657BB0E}"/>
    <cellStyle name="Normal 2 2 2 2 2" xfId="118" xr:uid="{12DCC1EE-7274-4D84-877F-E77C8B8A36E1}"/>
    <cellStyle name="Normal 2 2 2 3" xfId="39" xr:uid="{D8726772-160B-4EC3-BD5D-D7F1C624A12E}"/>
    <cellStyle name="Normal 2 2 2 3 2" xfId="119" xr:uid="{031D839B-5BED-43FC-82FE-D2B3856E6996}"/>
    <cellStyle name="Normal 2 2 2 4" xfId="29" xr:uid="{9DBDC803-FAF5-4B33-821F-D71E4F07E856}"/>
    <cellStyle name="Normal 2 2 3" xfId="11" xr:uid="{09C4E3A2-2687-4C0D-8B05-7953FF1A62A4}"/>
    <cellStyle name="Normal 2 2 3 2" xfId="28" xr:uid="{B4E30EE1-FC8B-4B40-8D37-22C23FA34EBD}"/>
    <cellStyle name="Normal 2 2 3 2 2" xfId="121" xr:uid="{2522733C-3075-4BFA-B9E0-044C433AD43E}"/>
    <cellStyle name="Normal 2 2 3 3" xfId="120" xr:uid="{47CB447C-31C7-4D0A-A979-7548F375389E}"/>
    <cellStyle name="Normal 2 2 4" xfId="46" xr:uid="{5635CA86-EB13-463D-8919-6D3927BC3902}"/>
    <cellStyle name="Normal 2 2 4 2" xfId="122" xr:uid="{B64E3709-8F1A-49F5-95B7-48519631DE94}"/>
    <cellStyle name="Normal 2 2 5" xfId="117" xr:uid="{548461B7-DA7B-4611-9E32-410DC2182188}"/>
    <cellStyle name="Normal 2 3" xfId="33" xr:uid="{1A3A4044-6514-4285-8C7A-9352EBF45564}"/>
    <cellStyle name="Normal 2 3 2" xfId="124" xr:uid="{239F859E-AA28-4A13-897B-140949133359}"/>
    <cellStyle name="Normal 2 3 3" xfId="123" xr:uid="{1AD0CD61-B603-4BB7-A381-1DFDA327A024}"/>
    <cellStyle name="Normal 2 3 4" xfId="215" xr:uid="{202ECDA3-1347-4174-A040-3C66FA7F2A7F}"/>
    <cellStyle name="Normal 2 4" xfId="45" xr:uid="{F46B78D0-86D4-42A4-9177-121B1369DAC4}"/>
    <cellStyle name="Normal 2 4 2" xfId="125" xr:uid="{62D563AA-093E-4DEA-B235-1AAFB55BA13F}"/>
    <cellStyle name="Normal 2 5" xfId="116" xr:uid="{50ECC34F-93A2-47F4-A7EE-C1EE25EA3EC8}"/>
    <cellStyle name="Normal 2_AQconcPM10_15-04-11_v2" xfId="216" xr:uid="{F6035ED4-AC95-4CFD-8DF1-BE2E15BEAD85}"/>
    <cellStyle name="Normal 3" xfId="19" xr:uid="{B3A14A3B-2DD7-4941-A3E4-7703269AC034}"/>
    <cellStyle name="Normal 3 2" xfId="32" xr:uid="{4B469023-EDF8-412C-8A17-894A66B5EAA7}"/>
    <cellStyle name="Normal 3 2 2" xfId="127" xr:uid="{3DC6375A-90B6-4F06-AA03-04B7750E2FA3}"/>
    <cellStyle name="Normal 3 3" xfId="31" xr:uid="{C803CF29-D344-457C-B9E1-882B2801F580}"/>
    <cellStyle name="Normal 3 3 2" xfId="128" xr:uid="{C446EBD6-00D4-46E3-9A52-FCB9F1B49370}"/>
    <cellStyle name="Normal 3 4" xfId="47" xr:uid="{12CCA80D-AB9A-4DF1-9F4D-A9FABDD1C3B7}"/>
    <cellStyle name="Normal 3 4 2" xfId="129" xr:uid="{2396B474-C920-48CD-B9BE-6769D66A2208}"/>
    <cellStyle name="Normal 3 5" xfId="126" xr:uid="{64962057-E564-4EF7-B778-6E11CCFCBCF8}"/>
    <cellStyle name="Normal 4" xfId="12" xr:uid="{B1E2FF9F-E533-45B7-A0AA-6B7FA966E201}"/>
    <cellStyle name="Normal 4 2" xfId="49" xr:uid="{ACA47999-8C11-445F-8227-4AEDE9094163}"/>
    <cellStyle name="Normal 4 2 2" xfId="132" xr:uid="{368D07BC-6F8B-4D0F-AE10-0A24C2083650}"/>
    <cellStyle name="Normal 4 2 3" xfId="131" xr:uid="{FDB52B36-DDFE-46EC-AFA5-B25F85AE238B}"/>
    <cellStyle name="Normal 4 3" xfId="50" xr:uid="{C122EB1A-3741-4A98-B8C4-D263E154FA26}"/>
    <cellStyle name="Normal 4 3 2" xfId="133" xr:uid="{52CF3D1A-3938-4A97-8A9E-C9659665E80C}"/>
    <cellStyle name="Normal 4 4" xfId="48" xr:uid="{6C5869B2-9DBE-420C-A3AE-8AF03C865C8E}"/>
    <cellStyle name="Normal 4 4 2" xfId="130" xr:uid="{6FBA8F23-1800-4A2F-BCF6-1C6004D2B3C6}"/>
    <cellStyle name="Normal 4 5" xfId="164" xr:uid="{0CF6653A-BF4F-4A9B-A48B-8AB4A5479553}"/>
    <cellStyle name="Normal 5" xfId="5" xr:uid="{21FC43D9-1FAA-4D4F-B699-32A6DAEE045E}"/>
    <cellStyle name="Normal 5 2" xfId="36" xr:uid="{FD749022-5F48-4A5B-AF98-7A4F69393D4A}"/>
    <cellStyle name="Normal 5 2 2" xfId="135" xr:uid="{892940C9-3FBD-43DC-8BC7-41347B5E52F2}"/>
    <cellStyle name="Normal 5 3" xfId="134" xr:uid="{04E308E5-9206-4847-97A7-D15CCC4C5D1D}"/>
    <cellStyle name="Normal 6" xfId="27" xr:uid="{0780F3DD-A09F-4758-BD40-C521E6BEA862}"/>
    <cellStyle name="Normal 6 2" xfId="137" xr:uid="{3D3BD67B-604B-4EC9-AE27-02A1B4149460}"/>
    <cellStyle name="Normal 6 3" xfId="138" xr:uid="{75D569AD-E32C-4F8F-8640-A1A57E705DB1}"/>
    <cellStyle name="Normal 6 4" xfId="136" xr:uid="{E5D3D5F6-0C25-44C2-BCF7-26BCE07717F0}"/>
    <cellStyle name="Normal 6 5" xfId="167" xr:uid="{4A04D814-5929-4429-96BE-E40CA6C28233}"/>
    <cellStyle name="Normal 7" xfId="139" xr:uid="{29E2C5B8-9ABC-4989-ACE6-A06B756D9106}"/>
    <cellStyle name="Normal 7 2" xfId="140" xr:uid="{5232A4BF-98DF-42CE-B5CD-467AB9B29AD0}"/>
    <cellStyle name="Normal 7 3" xfId="141" xr:uid="{673A5321-FF61-4577-BD99-7CC3B73C9454}"/>
    <cellStyle name="Normal 7 4" xfId="217" xr:uid="{0980B27A-40DB-4716-A332-DA6506CE8C90}"/>
    <cellStyle name="Normal 8" xfId="13" xr:uid="{3ED3DB17-E4DE-45A4-9B6F-3ED0334222E0}"/>
    <cellStyle name="Normal 8 2" xfId="143" xr:uid="{3EE2EF5F-0AD0-4A75-BDE1-3A81483D0396}"/>
    <cellStyle name="Normal 8 2 2" xfId="234" xr:uid="{895290E8-636D-4EE4-A56B-38D535E1D1D4}"/>
    <cellStyle name="Normal 8 3" xfId="144" xr:uid="{F6476C7B-D470-4471-B7ED-6E4361DCE39A}"/>
    <cellStyle name="Normal 8 4" xfId="142" xr:uid="{C352C252-C783-4C9B-943B-358998CC3558}"/>
    <cellStyle name="Normal 8 5" xfId="223" xr:uid="{09E48981-CB95-4F68-A3F3-7D4CB93059F0}"/>
    <cellStyle name="Normal 9" xfId="145" xr:uid="{BE673E75-CDF1-4FD0-A01B-B60E5BCE30C8}"/>
    <cellStyle name="Normal 9 2" xfId="146" xr:uid="{57BACD58-A9EB-44AD-BE62-4DE911ADE664}"/>
    <cellStyle name="Normal 9 2 2" xfId="233" xr:uid="{73EED598-6984-495A-B316-ECF38629B336}"/>
    <cellStyle name="Normal 9 2 2 2" xfId="238" xr:uid="{03E584C3-89ED-4332-9B0C-BDB785A0C3FE}"/>
    <cellStyle name="Normal 9 2 3" xfId="237" xr:uid="{25C47D81-D7CA-4256-896B-36ECC064D73D}"/>
    <cellStyle name="Normal 9 2 4" xfId="231" xr:uid="{2D18BE9B-E6D4-459D-AAC1-41082D2FE5F8}"/>
    <cellStyle name="Normal 9 3" xfId="147" xr:uid="{A1D9A355-B7C8-48DE-ACA6-7236CD12118A}"/>
    <cellStyle name="Normal 9 4" xfId="227" xr:uid="{CDE35FB2-A3ED-4689-97A0-7181844DA3D7}"/>
    <cellStyle name="Normal_SESDATA internal" xfId="165" xr:uid="{32D2692C-43D7-475F-8BE3-47EED1409595}"/>
    <cellStyle name="Normal_WebframesCC" xfId="51" xr:uid="{D70992D1-85EC-49A2-B8FB-BFA15E072203}"/>
    <cellStyle name="Note 2" xfId="148" xr:uid="{B7B3E2C7-A76D-429C-808A-166F08672B97}"/>
    <cellStyle name="Note 2 2" xfId="149" xr:uid="{C4B12A94-3E6A-4640-B9B9-5AEE201462AB}"/>
    <cellStyle name="Note 2 2 2" xfId="218" xr:uid="{E2BA5B40-3086-4A26-92CB-2DC35A3927A5}"/>
    <cellStyle name="Note 2 3" xfId="166" xr:uid="{BC15599E-5435-47DE-83F2-0900E131D184}"/>
    <cellStyle name="Note 3" xfId="219" xr:uid="{C80742BE-294A-4827-9CA7-B4AF65EC75F2}"/>
    <cellStyle name="Output 2" xfId="220" xr:uid="{22B21105-9985-428E-BFFB-DB8A8D93D871}"/>
    <cellStyle name="Paragraph Han" xfId="150" xr:uid="{537C8499-76B6-4576-8474-EA8F35DDDB04}"/>
    <cellStyle name="Per cent" xfId="4" builtinId="5"/>
    <cellStyle name="Per cent 2" xfId="14" xr:uid="{EE87BF1E-C03B-4437-A0DD-45B9B6613277}"/>
    <cellStyle name="Percent 11" xfId="170" xr:uid="{02961177-430A-441F-83A2-15ACC6642132}"/>
    <cellStyle name="Percent 2" xfId="54" xr:uid="{012DF472-6663-43DB-98DA-48447800C894}"/>
    <cellStyle name="Percent 2 2" xfId="152" xr:uid="{BBA31865-0567-4BEA-BA48-7DFE0C0F8B06}"/>
    <cellStyle name="Percent 2 3" xfId="151" xr:uid="{26AC3715-844F-4F6B-928A-E3C4BB9775F0}"/>
    <cellStyle name="Percent 3" xfId="55" xr:uid="{49B6978B-9240-4BED-AB6F-F8E06DABD0B6}"/>
    <cellStyle name="Percent 3 2" xfId="154" xr:uid="{C1115F02-7422-4737-9327-1A01876962CF}"/>
    <cellStyle name="Percent 3 3" xfId="155" xr:uid="{6712CED8-C5E4-4DFD-90A4-9AF448F6139C}"/>
    <cellStyle name="Percent 3 4" xfId="153" xr:uid="{DF4B561A-90AB-4AF5-868D-276E7FF6B4F9}"/>
    <cellStyle name="Percent 4" xfId="168" xr:uid="{D81F136E-278C-494F-82A9-DAA009B77FDC}"/>
    <cellStyle name="Percent 5" xfId="226" xr:uid="{C1251BE8-EDB3-4A07-875B-5AE2F442CCED}"/>
    <cellStyle name="Percent 5 2" xfId="236" xr:uid="{6EE1D825-D023-4686-8380-9DB65A2ED5FE}"/>
    <cellStyle name="Publication_style" xfId="15" xr:uid="{767DB32A-5EDF-4A24-B3ED-85F99CA5CA45}"/>
    <cellStyle name="Row_Headings" xfId="156" xr:uid="{4386C362-8B42-4AE9-BDBC-D972F3BF1195}"/>
    <cellStyle name="rowfield" xfId="157" xr:uid="{D8738A30-BFD1-4E4C-BC43-1FAC20EA104E}"/>
    <cellStyle name="rowfield 2" xfId="158" xr:uid="{9F31BAF6-2C76-48A5-AE7B-90EBC4507DC3}"/>
    <cellStyle name="rowfield 3" xfId="159" xr:uid="{8C07E407-142A-4A3F-968B-391E4ABA0577}"/>
    <cellStyle name="Test" xfId="160" xr:uid="{AF699BFD-09C2-4365-B48D-EE51596E0012}"/>
    <cellStyle name="Test 2" xfId="161" xr:uid="{4A42ABE3-A69A-41B8-90E7-397CE934EC45}"/>
    <cellStyle name="Test 3" xfId="162" xr:uid="{0651F5A3-31C9-4950-8CCE-0BB4E3F97DE4}"/>
    <cellStyle name="Total 2" xfId="221" xr:uid="{85E336BD-ECE6-4FC1-B4F0-E78A9B2AB6F5}"/>
    <cellStyle name="Warning Text 2" xfId="222" xr:uid="{E7384CEA-A2BB-49D0-ACD3-D62149E55068}"/>
  </cellStyles>
  <dxfs count="54">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ont>
        <b val="0"/>
        <i val="0"/>
        <strike val="0"/>
        <condense val="0"/>
        <extend val="0"/>
        <outline val="0"/>
        <shadow val="0"/>
        <u val="none"/>
        <vertAlign val="baseline"/>
        <sz val="14"/>
        <color theme="1"/>
        <name val="Arial"/>
        <family val="2"/>
        <scheme val="none"/>
      </font>
      <border diagonalUp="0" diagonalDown="0" outline="0">
        <left/>
        <right/>
        <top/>
        <bottom style="thin">
          <color indexed="64"/>
        </bottom>
      </border>
    </dxf>
    <dxf>
      <font>
        <b val="0"/>
        <i val="0"/>
        <strike val="0"/>
        <condense val="0"/>
        <extend val="0"/>
        <outline val="0"/>
        <shadow val="0"/>
        <u val="none"/>
        <vertAlign val="baseline"/>
        <sz val="14"/>
        <color theme="1"/>
        <name val="Arial"/>
        <family val="2"/>
        <scheme val="none"/>
      </font>
      <border diagonalUp="0" diagonalDown="0" outline="0">
        <left/>
        <right/>
        <top/>
        <bottom style="thin">
          <color indexed="64"/>
        </bottom>
      </border>
    </dxf>
    <dxf>
      <font>
        <b val="0"/>
        <i val="0"/>
        <strike val="0"/>
        <condense val="0"/>
        <extend val="0"/>
        <outline val="0"/>
        <shadow val="0"/>
        <u val="none"/>
        <vertAlign val="baseline"/>
        <sz val="14"/>
        <color theme="1"/>
        <name val="Arial"/>
        <family val="2"/>
        <scheme val="none"/>
      </font>
      <border diagonalUp="0" diagonalDown="0" outline="0">
        <left/>
        <right/>
        <top/>
        <bottom style="thin">
          <color indexed="64"/>
        </bottom>
      </border>
    </dxf>
    <dxf>
      <font>
        <b val="0"/>
        <i val="0"/>
        <strike val="0"/>
        <condense val="0"/>
        <extend val="0"/>
        <outline val="0"/>
        <shadow val="0"/>
        <u val="none"/>
        <vertAlign val="baseline"/>
        <sz val="14"/>
        <color theme="1"/>
        <name val="Arial"/>
        <family val="2"/>
        <scheme val="none"/>
      </font>
      <border diagonalUp="0" diagonalDown="0" outline="0">
        <left/>
        <right/>
        <top/>
        <bottom style="thin">
          <color indexed="64"/>
        </bottom>
      </border>
    </dxf>
    <dxf>
      <font>
        <b val="0"/>
        <i val="0"/>
        <strike val="0"/>
        <condense val="0"/>
        <extend val="0"/>
        <outline val="0"/>
        <shadow val="0"/>
        <u val="none"/>
        <vertAlign val="baseline"/>
        <sz val="14"/>
        <color theme="1"/>
        <name val="Arial"/>
        <family val="2"/>
        <scheme val="none"/>
      </font>
      <border diagonalUp="0" diagonalDown="0" outline="0">
        <left/>
        <right/>
        <top/>
        <bottom style="thin">
          <color indexed="64"/>
        </bottom>
      </border>
    </dxf>
    <dxf>
      <font>
        <b val="0"/>
        <i val="0"/>
        <strike val="0"/>
        <condense val="0"/>
        <extend val="0"/>
        <outline val="0"/>
        <shadow val="0"/>
        <u val="none"/>
        <vertAlign val="baseline"/>
        <sz val="14"/>
        <color theme="1"/>
        <name val="Arial"/>
        <family val="2"/>
        <scheme val="none"/>
      </font>
      <border diagonalUp="0" diagonalDown="0" outline="0">
        <left/>
        <right/>
        <top/>
        <bottom style="thin">
          <color indexed="64"/>
        </bottom>
      </border>
    </dxf>
    <dxf>
      <font>
        <b val="0"/>
        <i val="0"/>
        <strike val="0"/>
        <condense val="0"/>
        <extend val="0"/>
        <outline val="0"/>
        <shadow val="0"/>
        <u val="none"/>
        <vertAlign val="baseline"/>
        <sz val="14"/>
        <color theme="1"/>
        <name val="Arial"/>
        <family val="2"/>
        <scheme val="none"/>
      </font>
      <border diagonalUp="0" diagonalDown="0" outline="0">
        <left/>
        <right/>
        <top/>
        <bottom style="thin">
          <color indexed="64"/>
        </bottom>
      </border>
    </dxf>
    <dxf>
      <font>
        <b val="0"/>
        <i val="0"/>
        <strike val="0"/>
        <condense val="0"/>
        <extend val="0"/>
        <outline val="0"/>
        <shadow val="0"/>
        <u val="none"/>
        <vertAlign val="baseline"/>
        <sz val="14"/>
        <color theme="1"/>
        <name val="Arial"/>
        <family val="2"/>
        <scheme val="none"/>
      </font>
      <border diagonalUp="0" diagonalDown="0" outline="0">
        <left/>
        <right/>
        <top/>
        <bottom style="thin">
          <color indexed="64"/>
        </bottom>
      </border>
    </dxf>
    <dxf>
      <font>
        <b/>
        <i val="0"/>
        <strike val="0"/>
        <condense val="0"/>
        <extend val="0"/>
        <outline val="0"/>
        <shadow val="0"/>
        <u val="none"/>
        <vertAlign val="baseline"/>
        <sz val="14"/>
        <color theme="1"/>
        <name val="Arial"/>
        <family val="2"/>
        <scheme val="none"/>
      </font>
      <border diagonalUp="0" diagonalDown="0" outline="0">
        <left/>
        <right/>
        <top/>
        <bottom style="thin">
          <color indexed="64"/>
        </bottom>
      </border>
    </dxf>
    <dxf>
      <border outline="0">
        <top style="medium">
          <color indexed="64"/>
        </top>
        <bottom style="medium">
          <color indexed="64"/>
        </bottom>
      </border>
    </dxf>
    <dxf>
      <font>
        <b val="0"/>
        <i val="0"/>
        <strike val="0"/>
        <condense val="0"/>
        <extend val="0"/>
        <outline val="0"/>
        <shadow val="0"/>
        <u val="none"/>
        <vertAlign val="baseline"/>
        <sz val="14"/>
        <color theme="1"/>
        <name val="Arial"/>
        <family val="2"/>
        <scheme val="none"/>
      </font>
      <numFmt numFmtId="0" formatCode="General"/>
    </dxf>
    <dxf>
      <font>
        <b/>
        <i val="0"/>
        <strike val="0"/>
        <condense val="0"/>
        <extend val="0"/>
        <outline val="0"/>
        <shadow val="0"/>
        <u val="none"/>
        <vertAlign val="baseline"/>
        <sz val="14"/>
        <color theme="1"/>
        <name val="Arial"/>
        <family val="2"/>
        <scheme val="none"/>
      </font>
      <numFmt numFmtId="0" formatCode="General"/>
      <fill>
        <patternFill patternType="solid">
          <fgColor theme="0"/>
          <bgColor theme="0"/>
        </patternFill>
      </fill>
      <alignment horizontal="left" vertical="top" textRotation="0" wrapText="1"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4"/>
        <color auto="1"/>
        <name val="Arial"/>
        <family val="2"/>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style="thin">
          <color theme="0"/>
        </right>
        <top/>
        <bottom style="mediumDashed">
          <color indexed="64"/>
        </bottom>
      </border>
    </dxf>
    <dxf>
      <font>
        <b val="0"/>
        <i val="0"/>
        <strike val="0"/>
        <condense val="0"/>
        <extend val="0"/>
        <outline val="0"/>
        <shadow val="0"/>
        <u val="none"/>
        <vertAlign val="baseline"/>
        <sz val="14"/>
        <color auto="1"/>
        <name val="Arial"/>
        <family val="2"/>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4"/>
        <color auto="1"/>
        <name val="Arial"/>
        <family val="2"/>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4"/>
        <color auto="1"/>
        <name val="Arial"/>
        <family val="2"/>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4"/>
        <color auto="1"/>
        <name val="Arial"/>
        <family val="2"/>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strike val="0"/>
        <outline val="0"/>
        <shadow val="0"/>
        <vertAlign val="baseline"/>
        <sz val="14"/>
      </font>
      <numFmt numFmtId="4" formatCode="#,##0.00"/>
    </dxf>
    <dxf>
      <font>
        <b val="0"/>
        <i val="0"/>
        <strike val="0"/>
        <condense val="0"/>
        <extend val="0"/>
        <outline val="0"/>
        <shadow val="0"/>
        <u val="none"/>
        <vertAlign val="baseline"/>
        <sz val="14"/>
        <color auto="1"/>
        <name val="Arial"/>
        <family val="2"/>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4"/>
        <color auto="1"/>
        <name val="Arial"/>
        <family val="2"/>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4"/>
        <color auto="1"/>
        <name val="Arial"/>
        <family val="2"/>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strike val="0"/>
        <outline val="0"/>
        <shadow val="0"/>
        <vertAlign val="baseline"/>
        <sz val="14"/>
        <color auto="1"/>
        <name val="Arial"/>
        <family val="2"/>
        <scheme val="none"/>
      </font>
      <numFmt numFmtId="1" formatCode="0"/>
      <fill>
        <patternFill patternType="solid">
          <fgColor theme="0"/>
          <bgColor theme="0"/>
        </patternFill>
      </fill>
      <alignment horizontal="left" vertical="top" textRotation="0" wrapText="1" indent="2" justifyLastLine="0" shrinkToFit="0" readingOrder="0"/>
      <border diagonalUp="0" diagonalDown="0" outline="0">
        <left style="thin">
          <color theme="0"/>
        </left>
        <right style="thin">
          <color theme="0"/>
        </right>
        <top/>
        <bottom style="thin">
          <color theme="0"/>
        </bottom>
      </border>
    </dxf>
    <dxf>
      <border outline="0">
        <top style="medium">
          <color indexed="64"/>
        </top>
        <bottom style="medium">
          <color indexed="64"/>
        </bottom>
      </border>
    </dxf>
    <dxf>
      <font>
        <b val="0"/>
        <i val="0"/>
        <strike val="0"/>
        <condense val="0"/>
        <extend val="0"/>
        <outline val="0"/>
        <shadow val="0"/>
        <u val="none"/>
        <vertAlign val="baseline"/>
        <sz val="14"/>
        <color auto="1"/>
        <name val="Arial"/>
        <family val="2"/>
        <scheme val="none"/>
      </font>
      <numFmt numFmtId="4" formatCode="#,##0.00"/>
      <fill>
        <patternFill patternType="solid">
          <fgColor indexed="64"/>
          <bgColor theme="0"/>
        </patternFill>
      </fill>
      <alignment horizontal="right"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4"/>
        <color auto="1"/>
        <name val="Arial"/>
        <family val="2"/>
        <scheme val="none"/>
      </font>
      <numFmt numFmtId="4" formatCode="#,##0.00"/>
      <fill>
        <patternFill patternType="solid">
          <fgColor theme="0"/>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outline="0">
        <left/>
        <right style="thin">
          <color theme="0"/>
        </right>
        <top/>
        <bottom style="mediumDashed">
          <color indexed="64"/>
        </bottom>
      </border>
    </dxf>
    <dxf>
      <font>
        <b val="0"/>
        <i val="0"/>
        <strike val="0"/>
        <condense val="0"/>
        <extend val="0"/>
        <outline val="0"/>
        <shadow val="0"/>
        <u val="none"/>
        <vertAlign val="baseline"/>
        <sz val="14"/>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4"/>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4"/>
        <color auto="1"/>
        <name val="Arial"/>
        <scheme val="none"/>
      </font>
      <numFmt numFmtId="4" formatCode="#,##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4"/>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4"/>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4"/>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4"/>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right/>
        <top/>
        <bottom style="mediumDashed">
          <color indexed="64"/>
        </bottom>
      </border>
    </dxf>
    <dxf>
      <font>
        <b val="0"/>
        <i val="0"/>
        <strike val="0"/>
        <condense val="0"/>
        <extend val="0"/>
        <outline val="0"/>
        <shadow val="0"/>
        <u val="none"/>
        <vertAlign val="baseline"/>
        <sz val="14"/>
        <color auto="1"/>
        <name val="Arial"/>
        <scheme val="none"/>
      </font>
      <numFmt numFmtId="4" formatCode="#,##0.00"/>
      <fill>
        <patternFill patternType="solid">
          <fgColor indexed="64"/>
          <bgColor theme="0"/>
        </patternFill>
      </fill>
      <alignment horizontal="right" vertical="bottom" textRotation="0" wrapText="0" indent="0" justifyLastLine="0" shrinkToFit="0" readingOrder="0"/>
    </dxf>
    <dxf>
      <font>
        <strike val="0"/>
        <outline val="0"/>
        <shadow val="0"/>
        <vertAlign val="baseline"/>
        <sz val="14"/>
      </font>
      <numFmt numFmtId="1" formatCode="0"/>
      <fill>
        <patternFill patternType="solid">
          <bgColor theme="0"/>
        </patternFill>
      </fill>
    </dxf>
    <dxf>
      <border outline="0">
        <top style="medium">
          <color indexed="64"/>
        </top>
        <bottom style="medium">
          <color indexed="64"/>
        </bottom>
      </border>
    </dxf>
    <dxf>
      <font>
        <b val="0"/>
        <i val="0"/>
        <strike val="0"/>
        <condense val="0"/>
        <extend val="0"/>
        <outline val="0"/>
        <shadow val="0"/>
        <u val="none"/>
        <vertAlign val="baseline"/>
        <sz val="14"/>
        <color auto="1"/>
        <name val="Arial"/>
        <scheme val="none"/>
      </font>
      <numFmt numFmtId="4" formatCode="#,##0.00"/>
      <fill>
        <patternFill patternType="solid">
          <fgColor indexed="64"/>
          <bgColor theme="0"/>
        </patternFill>
      </fill>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4"/>
        <color auto="1"/>
        <name val="Arial"/>
        <family val="2"/>
        <scheme val="none"/>
      </font>
      <numFmt numFmtId="4" formatCode="#,##0.00"/>
      <fill>
        <patternFill patternType="solid">
          <fgColor theme="0"/>
          <bgColor theme="0"/>
        </patternFill>
      </fill>
      <alignment horizontal="general" vertical="top" textRotation="0" wrapText="1" indent="0" justifyLastLine="0" shrinkToFit="0" readingOrder="0"/>
      <border diagonalUp="0" diagonalDown="0" outline="0">
        <left/>
        <right/>
        <bottom/>
      </border>
    </dxf>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1"/>
        <color rgb="FF000000"/>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rgb="FF000000"/>
        <name val="Calibri"/>
        <family val="2"/>
        <scheme val="minor"/>
      </font>
    </dxf>
    <dxf>
      <font>
        <b val="0"/>
        <i val="0"/>
        <strike val="0"/>
        <condense val="0"/>
        <extend val="0"/>
        <outline val="0"/>
        <shadow val="0"/>
        <u val="none"/>
        <vertAlign val="baseline"/>
        <sz val="11"/>
        <color rgb="FF000000"/>
        <name val="Calibri"/>
        <family val="2"/>
        <scheme val="minor"/>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10160</xdr:colOff>
      <xdr:row>21</xdr:row>
      <xdr:rowOff>3170</xdr:rowOff>
    </xdr:from>
    <xdr:to>
      <xdr:col>13</xdr:col>
      <xdr:colOff>101723</xdr:colOff>
      <xdr:row>68</xdr:row>
      <xdr:rowOff>27743</xdr:rowOff>
    </xdr:to>
    <xdr:sp macro="" textlink="">
      <xdr:nvSpPr>
        <xdr:cNvPr id="4" name="TextBox 1">
          <a:extLst>
            <a:ext uri="{FF2B5EF4-FFF2-40B4-BE49-F238E27FC236}">
              <a16:creationId xmlns:a16="http://schemas.microsoft.com/office/drawing/2014/main" id="{A0983548-5AF3-6BFA-56DD-9F8E2C0353F4}"/>
            </a:ext>
          </a:extLst>
        </xdr:cNvPr>
        <xdr:cNvSpPr txBox="1"/>
      </xdr:nvSpPr>
      <xdr:spPr>
        <a:xfrm>
          <a:off x="620500" y="6014092"/>
          <a:ext cx="14665738" cy="1089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aseline="0"/>
            <a:t>-The above table provides absolute (</a:t>
          </a:r>
          <a:r>
            <a:rPr lang="en-GB" sz="1600" i="0" baseline="0"/>
            <a:t>k</a:t>
          </a:r>
          <a:r>
            <a:rPr lang="en-GB" sz="1600" i="0"/>
            <a:t>ilotonnes of carbon dioxide equivalent- </a:t>
          </a:r>
          <a:r>
            <a:rPr lang="en-GB" sz="1600" b="0" i="0" u="none" strike="noStrike">
              <a:solidFill>
                <a:schemeClr val="dk1"/>
              </a:solidFill>
              <a:effectLst/>
              <a:latin typeface="+mn-lt"/>
              <a:ea typeface="+mn-ea"/>
              <a:cs typeface="+mn-cs"/>
            </a:rPr>
            <a:t>KtCO</a:t>
          </a:r>
          <a:r>
            <a:rPr lang="en-GB" sz="1600" b="0" i="0" u="none" strike="noStrike" baseline="-25000">
              <a:solidFill>
                <a:schemeClr val="dk1"/>
              </a:solidFill>
              <a:effectLst/>
              <a:latin typeface="+mn-lt"/>
              <a:ea typeface="+mn-ea"/>
              <a:cs typeface="+mn-cs"/>
            </a:rPr>
            <a:t>2</a:t>
          </a:r>
          <a:r>
            <a:rPr lang="en-GB" sz="1600" b="0" i="0" u="none" strike="noStrike">
              <a:solidFill>
                <a:schemeClr val="dk1"/>
              </a:solidFill>
              <a:effectLst/>
              <a:latin typeface="+mn-lt"/>
              <a:ea typeface="+mn-ea"/>
              <a:cs typeface="+mn-cs"/>
            </a:rPr>
            <a:t>e</a:t>
          </a:r>
          <a:r>
            <a:rPr lang="en-GB" sz="1600" baseline="0"/>
            <a:t>) and relative (%) changes in CO</a:t>
          </a:r>
          <a:r>
            <a:rPr lang="en-GB" sz="1600" b="0" i="0" baseline="-25000">
              <a:solidFill>
                <a:schemeClr val="dk1"/>
              </a:solidFill>
              <a:effectLst/>
              <a:latin typeface="+mn-lt"/>
              <a:ea typeface="+mn-ea"/>
              <a:cs typeface="+mn-cs"/>
            </a:rPr>
            <a:t>2</a:t>
          </a:r>
          <a:r>
            <a:rPr lang="en-GB" sz="1600" baseline="0"/>
            <a:t>e emissions that would have occurred in 2019 for a given change in mode. The percentage of mode shift can be altered in Column C. Only rows 12, 13 and 14 count towards Row 15 ("Total potential Carbon emission savings (as a % of total car emissions)"). Row 5 and 6 are provided to give further detail of where contributions to savings from trips under 5km come from.</a:t>
          </a:r>
        </a:p>
        <a:p>
          <a:r>
            <a:rPr lang="en-GB" sz="1600">
              <a:solidFill>
                <a:schemeClr val="dk1"/>
              </a:solidFill>
              <a:effectLst/>
              <a:latin typeface="+mn-lt"/>
              <a:ea typeface="+mn-ea"/>
              <a:cs typeface="+mn-cs"/>
            </a:rPr>
            <a:t>-Importantly, the relative amount (%) of emissions saved are more accurate than</a:t>
          </a:r>
          <a:r>
            <a:rPr lang="en-GB" sz="1600" baseline="0">
              <a:solidFill>
                <a:schemeClr val="dk1"/>
              </a:solidFill>
              <a:effectLst/>
              <a:latin typeface="+mn-lt"/>
              <a:ea typeface="+mn-ea"/>
              <a:cs typeface="+mn-cs"/>
            </a:rPr>
            <a:t> the KtCO2e figures</a:t>
          </a:r>
          <a:r>
            <a:rPr lang="en-GB" sz="1600">
              <a:solidFill>
                <a:schemeClr val="dk1"/>
              </a:solidFill>
              <a:effectLst/>
              <a:latin typeface="+mn-lt"/>
              <a:ea typeface="+mn-ea"/>
              <a:cs typeface="+mn-cs"/>
            </a:rPr>
            <a:t>. This is due to the impact of cold start emissions. From our understanding of the DEZNEZ conversion factors, they draw on the New European Driving Cycle (NEDC) and the Worldwide Harmonised Light Vehicle Test Procedure (WLTP) emission values. The NEDC and SLTP do incorporate cold start emissions; however, they incorporate them into a simple average emissions per kilometre. This creates two issues. First, given that longer trips make up a disproportionate number of kilometres (trips over 40km being only 8% of car journeys, but 34-37% of car kilometres), a disproportionate amount of cold start emissions will be attributed to longer trips (and in turn under attributed to short journeys), given that cold start emissions only occur for a short portion of a journey. Secondly, cold starts are more likely for shorter trips and urban trips, again meaning that having cold start emissions as part of an average emissions per kilometre value will overemphasise their contribution to longer trips and underestimate their contribution to shorter journeys. </a:t>
          </a:r>
        </a:p>
        <a:p>
          <a:r>
            <a:rPr lang="en-GB" sz="1600">
              <a:solidFill>
                <a:schemeClr val="dk1"/>
              </a:solidFill>
              <a:effectLst/>
              <a:latin typeface="+mn-lt"/>
              <a:ea typeface="+mn-ea"/>
              <a:cs typeface="+mn-cs"/>
            </a:rPr>
            <a:t>	With this in mind, we decided to apply a “per trip” value for cold start emissions. While this will mean cold start emissions are double counted, it should readdress the balance proportionally (i.e., the amount of KtCO</a:t>
          </a:r>
          <a:r>
            <a:rPr lang="en-GB" sz="1600" baseline="-25000">
              <a:solidFill>
                <a:schemeClr val="dk1"/>
              </a:solidFill>
              <a:effectLst/>
              <a:latin typeface="+mn-lt"/>
              <a:ea typeface="+mn-ea"/>
              <a:cs typeface="+mn-cs"/>
            </a:rPr>
            <a:t>2</a:t>
          </a:r>
          <a:r>
            <a:rPr lang="en-GB" sz="1600">
              <a:solidFill>
                <a:schemeClr val="dk1"/>
              </a:solidFill>
              <a:effectLst/>
              <a:latin typeface="+mn-lt"/>
              <a:ea typeface="+mn-ea"/>
              <a:cs typeface="+mn-cs"/>
            </a:rPr>
            <a:t>e from cold start emissions will be overestimated, but the percentage of car emissions from various trip lengths should be more accurate. We have also gone with the assumption of all journeys having cold start emissions- we know this isn’t the case, although it could be up to </a:t>
          </a:r>
          <a:r>
            <a:rPr lang="en-GB" sz="1600" u="sng">
              <a:solidFill>
                <a:schemeClr val="dk1"/>
              </a:solidFill>
              <a:effectLst/>
              <a:latin typeface="+mn-lt"/>
              <a:ea typeface="+mn-ea"/>
              <a:cs typeface="+mn-cs"/>
              <a:hlinkClick xmlns:r="http://schemas.openxmlformats.org/officeDocument/2006/relationships" r:id=""/>
            </a:rPr>
            <a:t>60% of trips</a:t>
          </a:r>
          <a:r>
            <a:rPr lang="en-GB" sz="1600">
              <a:solidFill>
                <a:schemeClr val="dk1"/>
              </a:solidFill>
              <a:effectLst/>
              <a:latin typeface="+mn-lt"/>
              <a:ea typeface="+mn-ea"/>
              <a:cs typeface="+mn-cs"/>
            </a:rPr>
            <a:t>. However, the estimates are quite varied, and it is also quite difficult to know which journeys exactly are cold starts. With this in mind, we decided to apply a blanket cold start uplift to all trips. Again, while this will overestimate absolute values, we feel it should help keep emissions values accurate proportionally.  </a:t>
          </a:r>
        </a:p>
        <a:p>
          <a:r>
            <a:rPr lang="en-GB" sz="1600">
              <a:solidFill>
                <a:schemeClr val="dk1"/>
              </a:solidFill>
              <a:effectLst/>
              <a:latin typeface="+mn-lt"/>
              <a:ea typeface="+mn-ea"/>
              <a:cs typeface="+mn-cs"/>
            </a:rPr>
            <a:t>	Ideally, we would have worked out KtCO</a:t>
          </a:r>
          <a:r>
            <a:rPr lang="en-GB" sz="1600" baseline="-25000">
              <a:solidFill>
                <a:schemeClr val="dk1"/>
              </a:solidFill>
              <a:effectLst/>
              <a:latin typeface="+mn-lt"/>
              <a:ea typeface="+mn-ea"/>
              <a:cs typeface="+mn-cs"/>
            </a:rPr>
            <a:t>2</a:t>
          </a:r>
          <a:r>
            <a:rPr lang="en-GB" sz="1600">
              <a:solidFill>
                <a:schemeClr val="dk1"/>
              </a:solidFill>
              <a:effectLst/>
              <a:latin typeface="+mn-lt"/>
              <a:ea typeface="+mn-ea"/>
              <a:cs typeface="+mn-cs"/>
            </a:rPr>
            <a:t>e with no cold start emissions, separately worked out exactly what type and proportion of trips were likely to have cold starts and applied a per trip factor to those journeys but given time and data constraints this wasn’t feasible. While these assumptions mean that we’ve likely overestimated the absolute values for cold start emissions, other factors- namely that we are only looking at tailpipe emissions- mean that absolute emission values will also be underestimated in other areas. As</a:t>
          </a:r>
          <a:r>
            <a:rPr lang="en-GB" sz="1600" baseline="0">
              <a:solidFill>
                <a:schemeClr val="dk1"/>
              </a:solidFill>
              <a:effectLst/>
              <a:latin typeface="+mn-lt"/>
              <a:ea typeface="+mn-ea"/>
              <a:cs typeface="+mn-cs"/>
            </a:rPr>
            <a:t> such, w</a:t>
          </a:r>
          <a:r>
            <a:rPr lang="en-GB" sz="1600">
              <a:solidFill>
                <a:schemeClr val="dk1"/>
              </a:solidFill>
              <a:effectLst/>
              <a:latin typeface="+mn-lt"/>
              <a:ea typeface="+mn-ea"/>
              <a:cs typeface="+mn-cs"/>
            </a:rPr>
            <a:t>e feel the proportional values- i.e., what percentage of car emissions come from trips of X distance are more appropriate and useful to focus on. </a:t>
          </a:r>
        </a:p>
        <a:p>
          <a:r>
            <a:rPr lang="en-GB" sz="1600" baseline="0"/>
            <a:t>-The headings "Low journey distances", "Medium journey distances" and "High journey distances" refer to the fact that we do not have precise details of individual trip lengths. Instead, we have the number of trips taken in various distance categories (e.g., 3-5km 5-10km, etc.). As we cannot be certain how long journeys were within each category, we calculated values based off the bottom end of each category, the midpoint of each category, and the highpoint of each category. For example, in the 5-10km category, we worked out trip distances if trips  in this category were 5km long (Low), 7.5km long (Medium) and 9.9km long (high). Please see the Navigation tab, Row 12 for further information.</a:t>
          </a:r>
        </a:p>
        <a:p>
          <a:r>
            <a:rPr lang="en-GB" sz="1600" baseline="0"/>
            <a:t>-KtCO</a:t>
          </a:r>
          <a:r>
            <a:rPr lang="en-GB" sz="1600" b="0" i="0" baseline="-25000">
              <a:solidFill>
                <a:schemeClr val="dk1"/>
              </a:solidFill>
              <a:effectLst/>
              <a:latin typeface="+mn-lt"/>
              <a:ea typeface="+mn-ea"/>
              <a:cs typeface="+mn-cs"/>
            </a:rPr>
            <a:t>2</a:t>
          </a:r>
          <a:r>
            <a:rPr lang="en-GB" sz="1600" baseline="0"/>
            <a:t>e values in the above table are absolutes values- i.e., the Kt of CO</a:t>
          </a:r>
          <a:r>
            <a:rPr lang="en-GB" sz="1600" b="0" i="0" baseline="-25000">
              <a:solidFill>
                <a:schemeClr val="dk1"/>
              </a:solidFill>
              <a:effectLst/>
              <a:latin typeface="+mn-lt"/>
              <a:ea typeface="+mn-ea"/>
              <a:cs typeface="+mn-cs"/>
            </a:rPr>
            <a:t>2</a:t>
          </a:r>
          <a:r>
            <a:rPr lang="en-GB" sz="1600" baseline="0"/>
            <a:t>e that will be saved for each percentage of mode shift</a:t>
          </a:r>
        </a:p>
        <a:p>
          <a:r>
            <a:rPr lang="en-GB" sz="1600" baseline="0"/>
            <a:t>-The percentage columns in the table above are expressed relative to total car emissions for 2019- i.e., the percentage of car emissions that would be saved for each percentage of mode shift.</a:t>
          </a:r>
        </a:p>
        <a:p>
          <a:r>
            <a:rPr lang="en-GB" sz="1600" baseline="0"/>
            <a:t>-The use of 40% for the mode shift in trips under 5km is taken from this paper which suggests 41% of car trips under 3miles/5km could realistically be substituted for active travel: Nevis &amp; Brand (2019) "Assessing the potential for carbon emissions savings from replacing short car trips with walking and cycling using a mixed GPS-travel diary approach" Available at: https://www.sciencedirect.com/science/article/pii/S0965856417316117?via%3Dihub. </a:t>
          </a:r>
        </a:p>
        <a:p>
          <a:pPr marL="0" marR="0" lvl="0" indent="0" defTabSz="914400" eaLnBrk="1" fontAlgn="auto" latinLnBrk="0" hangingPunct="1">
            <a:lnSpc>
              <a:spcPct val="100000"/>
            </a:lnSpc>
            <a:spcBef>
              <a:spcPts val="0"/>
            </a:spcBef>
            <a:spcAft>
              <a:spcPts val="0"/>
            </a:spcAft>
            <a:buClrTx/>
            <a:buSzTx/>
            <a:buFontTx/>
            <a:buNone/>
            <a:tabLst/>
            <a:defRPr/>
          </a:pPr>
          <a:r>
            <a:rPr lang="en-GB" sz="1600" baseline="0">
              <a:solidFill>
                <a:schemeClr val="dk1"/>
              </a:solidFill>
              <a:effectLst/>
              <a:latin typeface="+mn-lt"/>
              <a:ea typeface="+mn-ea"/>
              <a:cs typeface="+mn-cs"/>
            </a:rPr>
            <a:t>-In the various tabs, any tables taken directly from sources remain in </a:t>
          </a:r>
          <a:r>
            <a:rPr lang="en-GB" sz="1600" b="1" baseline="0">
              <a:solidFill>
                <a:schemeClr val="dk1"/>
              </a:solidFill>
              <a:effectLst/>
              <a:latin typeface="+mn-lt"/>
              <a:ea typeface="+mn-ea"/>
              <a:cs typeface="+mn-cs"/>
            </a:rPr>
            <a:t>BLACK</a:t>
          </a:r>
          <a:r>
            <a:rPr lang="en-GB" sz="1600" baseline="0">
              <a:solidFill>
                <a:schemeClr val="dk1"/>
              </a:solidFill>
              <a:effectLst/>
              <a:latin typeface="+mn-lt"/>
              <a:ea typeface="+mn-ea"/>
              <a:cs typeface="+mn-cs"/>
            </a:rPr>
            <a:t>. Any tables, figures, or calculations which have been done within this spreadsheet are in </a:t>
          </a:r>
          <a:r>
            <a:rPr lang="en-GB" sz="1600" b="1" baseline="0">
              <a:solidFill>
                <a:schemeClr val="dk1"/>
              </a:solidFill>
              <a:effectLst/>
              <a:latin typeface="+mn-lt"/>
              <a:ea typeface="+mn-ea"/>
              <a:cs typeface="+mn-cs"/>
            </a:rPr>
            <a:t>GREEN</a:t>
          </a:r>
          <a:r>
            <a:rPr lang="en-GB" sz="1600" baseline="0">
              <a:solidFill>
                <a:schemeClr val="dk1"/>
              </a:solidFill>
              <a:effectLst/>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en-GB" sz="1600" baseline="0"/>
            <a:t>-</a:t>
          </a:r>
          <a:r>
            <a:rPr lang="en-GB" sz="1600" b="0" i="0">
              <a:solidFill>
                <a:schemeClr val="dk1"/>
              </a:solidFill>
              <a:effectLst/>
              <a:latin typeface="+mn-lt"/>
              <a:ea typeface="+mn-ea"/>
              <a:cs typeface="+mn-cs"/>
            </a:rPr>
            <a:t>Choosing 10% as the number of car trips over in the 5-40km and over 40km groupings which have the potential for mode shift is an estimate. There are currently no workings behind that specific figure, but we consider 10% to be a reasonable and conservative estimate of how many long distance car trips are feasible to swap to a combination of active travel and public transport.</a:t>
          </a:r>
        </a:p>
        <a:p>
          <a:r>
            <a:rPr lang="en-GB" sz="1600"/>
            <a:t>-Some total figures in tables may not fully match others due to roundings.</a:t>
          </a:r>
        </a:p>
        <a:p>
          <a:pPr marL="0" marR="0" lvl="0" indent="0" defTabSz="914400" eaLnBrk="1" fontAlgn="auto" latinLnBrk="0" hangingPunct="1">
            <a:lnSpc>
              <a:spcPct val="100000"/>
            </a:lnSpc>
            <a:spcBef>
              <a:spcPts val="0"/>
            </a:spcBef>
            <a:spcAft>
              <a:spcPts val="0"/>
            </a:spcAft>
            <a:buClrTx/>
            <a:buSzTx/>
            <a:buFontTx/>
            <a:buNone/>
            <a:tabLst/>
            <a:defRPr/>
          </a:pPr>
          <a:r>
            <a:rPr lang="en-GB" sz="1600" b="0" baseline="0">
              <a:solidFill>
                <a:schemeClr val="dk1"/>
              </a:solidFill>
              <a:effectLst/>
              <a:latin typeface="+mn-lt"/>
              <a:ea typeface="+mn-ea"/>
              <a:cs typeface="+mn-cs"/>
            </a:rPr>
            <a:t>-Year usage: for factors that would not have been impacted by Covid-19, the most recent data was used (e.g., 2023 greenhouse gas conversion factors were used). For all other datasets (e.g., km travelled etc.), 2019 was used as the most recent common year not affected by Covid which had all datasets available. In other words, while there are generally full datasets available for 2020-2021, these were not used as they were likely to be impacted by Covid. 2022 was less likely to have been impacted by any restrictions, and may instead reflect more accurate trends and changes as a result of the pandemic. However only some datasets are currently available for 2022, so 2019 was chosen as the most recent comparable year.</a:t>
          </a:r>
        </a:p>
        <a:p>
          <a:pPr marL="0" marR="0" lvl="0" indent="0" defTabSz="914400" eaLnBrk="1" fontAlgn="auto" latinLnBrk="0" hangingPunct="1">
            <a:lnSpc>
              <a:spcPct val="100000"/>
            </a:lnSpc>
            <a:spcBef>
              <a:spcPts val="0"/>
            </a:spcBef>
            <a:spcAft>
              <a:spcPts val="0"/>
            </a:spcAft>
            <a:buClrTx/>
            <a:buSzTx/>
            <a:buFontTx/>
            <a:buNone/>
            <a:tabLst/>
            <a:defRPr/>
          </a:pPr>
          <a:r>
            <a:rPr lang="en-GB" sz="1600">
              <a:solidFill>
                <a:schemeClr val="dk1"/>
              </a:solidFill>
              <a:effectLst/>
              <a:latin typeface="+mn-lt"/>
              <a:ea typeface="+mn-ea"/>
              <a:cs typeface="+mn-cs"/>
            </a:rPr>
            <a:t>-These savings</a:t>
          </a:r>
          <a:r>
            <a:rPr lang="en-GB" sz="1600" baseline="0">
              <a:solidFill>
                <a:schemeClr val="dk1"/>
              </a:solidFill>
              <a:effectLst/>
              <a:latin typeface="+mn-lt"/>
              <a:ea typeface="+mn-ea"/>
              <a:cs typeface="+mn-cs"/>
            </a:rPr>
            <a:t> represent an additional saving on top of the amount of carbon currently saved through the 23.3% of overall trips undertaken in Scotland each year by active travel.</a:t>
          </a:r>
          <a:endParaRPr lang="en-GB" sz="16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GB" sz="1600">
            <a:effectLst/>
          </a:endParaRPr>
        </a:p>
        <a:p>
          <a:endParaRPr lang="en-GB" sz="1600"/>
        </a:p>
      </xdr:txBody>
    </xdr:sp>
    <xdr:clientData/>
  </xdr:twoCellAnchor>
  <xdr:twoCellAnchor>
    <xdr:from>
      <xdr:col>1</xdr:col>
      <xdr:colOff>203446</xdr:colOff>
      <xdr:row>0</xdr:row>
      <xdr:rowOff>133275</xdr:rowOff>
    </xdr:from>
    <xdr:to>
      <xdr:col>7</xdr:col>
      <xdr:colOff>305170</xdr:colOff>
      <xdr:row>4</xdr:row>
      <xdr:rowOff>194199</xdr:rowOff>
    </xdr:to>
    <xdr:sp macro="" textlink="">
      <xdr:nvSpPr>
        <xdr:cNvPr id="232" name="TextBox 13">
          <a:extLst>
            <a:ext uri="{FF2B5EF4-FFF2-40B4-BE49-F238E27FC236}">
              <a16:creationId xmlns:a16="http://schemas.microsoft.com/office/drawing/2014/main" id="{8914D586-6520-7A69-9398-FDC68EA0E30E}"/>
            </a:ext>
          </a:extLst>
        </xdr:cNvPr>
        <xdr:cNvSpPr txBox="1"/>
      </xdr:nvSpPr>
      <xdr:spPr>
        <a:xfrm>
          <a:off x="813786" y="133275"/>
          <a:ext cx="9358544" cy="985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t>How to use:</a:t>
          </a:r>
        </a:p>
        <a:p>
          <a:r>
            <a:rPr lang="en-GB" sz="1400"/>
            <a:t>This</a:t>
          </a:r>
          <a:r>
            <a:rPr lang="en-GB" sz="1400" baseline="0"/>
            <a:t> Main Dashboard has the results of the calculations. </a:t>
          </a:r>
        </a:p>
        <a:p>
          <a:r>
            <a:rPr lang="en-GB" sz="1400" baseline="0"/>
            <a:t>See the Dashboard calculations tab for the background to these and the Navigation tab for details on which of the orange tabs to find the relevant data sources.</a:t>
          </a:r>
          <a:endParaRPr lang="en-GB"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xdr:row>
      <xdr:rowOff>1</xdr:rowOff>
    </xdr:from>
    <xdr:to>
      <xdr:col>5</xdr:col>
      <xdr:colOff>714375</xdr:colOff>
      <xdr:row>4</xdr:row>
      <xdr:rowOff>76200</xdr:rowOff>
    </xdr:to>
    <xdr:sp macro="" textlink="">
      <xdr:nvSpPr>
        <xdr:cNvPr id="2" name="TextBox 1">
          <a:extLst>
            <a:ext uri="{FF2B5EF4-FFF2-40B4-BE49-F238E27FC236}">
              <a16:creationId xmlns:a16="http://schemas.microsoft.com/office/drawing/2014/main" id="{2C117E2A-AC5D-9DFE-C93F-8F5D66AFA87B}"/>
            </a:ext>
          </a:extLst>
        </xdr:cNvPr>
        <xdr:cNvSpPr txBox="1"/>
      </xdr:nvSpPr>
      <xdr:spPr>
        <a:xfrm>
          <a:off x="4953000" y="180976"/>
          <a:ext cx="3867150" cy="6191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t>For an explanation of how</a:t>
          </a:r>
          <a:r>
            <a:rPr lang="en-GB" sz="1400" baseline="0"/>
            <a:t> figures were obtained and calculated, please see the "Navigation" tab</a:t>
          </a:r>
          <a:endParaRPr lang="en-GB" sz="1400"/>
        </a:p>
      </xdr:txBody>
    </xdr:sp>
    <xdr:clientData/>
  </xdr:twoCellAnchor>
</xdr:wsDr>
</file>

<file path=xl/persons/person.xml><?xml version="1.0" encoding="utf-8"?>
<personList xmlns="http://schemas.microsoft.com/office/spreadsheetml/2018/threadedcomments" xmlns:x="http://schemas.openxmlformats.org/spreadsheetml/2006/main">
  <person displayName="Seán Fortune" id="{1E676806-FEB5-469A-ACA2-5C8905FFF01D}" userId="Sean.Fortune@sustrans.org.uk" providerId="PeoplePicker"/>
  <person displayName="Isabel Winney" id="{F8ED9A2E-8740-462B-A07E-BE9C995E269F}" userId="Isabel.Winney@sustrans.org.uk" providerId="PeoplePicker"/>
  <person displayName="Seán Fortune" id="{220E1968-6902-4918-ABB8-D37FF4715100}" userId="S::sean.fortune@sustrans.org.uk::d259e491-6897-44e0-92a3-b3bfb75369ce" providerId="AD"/>
  <person displayName="Isabel Winney" id="{1D8B349D-9034-4CA5-A33C-39652421B6E1}" userId="S::isabel.winney@sustrans.org.uk::0dd48800-28e5-41cc-b8d6-70ae21707c5d"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EA77EF-7EE7-46C4-A101-FC57139ED591}" name="Table4" displayName="Table4" ref="A2:E11" totalsRowShown="0" headerRowDxfId="53" dataDxfId="52">
  <autoFilter ref="A2:E11" xr:uid="{2DEA77EF-7EE7-46C4-A101-FC57139ED591}"/>
  <tableColumns count="5">
    <tableColumn id="1" xr3:uid="{14793088-6182-4767-ABD6-81320BC21420}" name="QA Task" dataDxfId="51"/>
    <tableColumn id="2" xr3:uid="{9748B503-56F5-4E79-BE24-358B8C547FF2}" name="Status" dataDxfId="50"/>
    <tableColumn id="3" xr3:uid="{E6AC2A96-DA0B-4C68-B42D-F43DBAB20551}" name="Comments" dataDxfId="49"/>
    <tableColumn id="4" xr3:uid="{19645345-3389-4D8C-8A3D-5E7ECF177B0C}" name="Reply" dataDxfId="48"/>
    <tableColumn id="5" xr3:uid="{11DC868A-2658-4FDD-BFA4-0B954F4E37BC}" name="Final Status" dataDxfId="47"/>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427DB5F-0E97-4ACC-941A-E6FB776100FA}" name="Table5" displayName="Table5" ref="H8:I15" totalsRowShown="0">
  <autoFilter ref="H8:I15" xr:uid="{5427DB5F-0E97-4ACC-941A-E6FB776100FA}"/>
  <tableColumns count="2">
    <tableColumn id="1" xr3:uid="{1A90B0B2-C01E-4258-9CC3-B3E1DAE11887}" name="Tab"/>
    <tableColumn id="2" xr3:uid="{3DEDEFED-5A62-4858-8C2F-EB944E93F373}" name="Cell referenc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52C1FF1-B69B-42AD-AFF6-9FFD9C963457}" name="Table_TD4c__Under_Two_Miles_Mode" displayName="Table_TD4c__Under_Two_Miles_Mode" ref="C63:L73" totalsRowShown="0" headerRowDxfId="46" dataDxfId="44" headerRowBorderDxfId="45" tableBorderDxfId="43">
  <autoFilter ref="C63:L73" xr:uid="{652C1FF1-B69B-42AD-AFF6-9FFD9C963457}"/>
  <tableColumns count="10">
    <tableColumn id="1" xr3:uid="{BFA0C982-54DA-4F25-B034-F98B61099498}" name="Survey Year" dataDxfId="42"/>
    <tableColumn id="2" xr3:uid="{45C73421-68CA-4F55-8B56-EFE798822240}" name="Main Mode Walking " dataDxfId="41"/>
    <tableColumn id="3" xr3:uid="{42DBED7F-211E-486D-88E5-9CD7A1AE9F8E}" name="Main Mode Driver car or van  " dataDxfId="40"/>
    <tableColumn id="4" xr3:uid="{8E1A167A-78B3-44C5-B5AD-D22C00F013C8}" name="Main Mode Passenger car or van   " dataDxfId="39"/>
    <tableColumn id="5" xr3:uid="{D119B8AA-4DDB-43F2-838D-87DBC3C4D492}" name="Main Mode Bicycle   " dataDxfId="38"/>
    <tableColumn id="6" xr3:uid="{16E23905-7EDD-4CB2-9A0A-154E046D968C}" name="Main Mode Bus    " dataDxfId="37"/>
    <tableColumn id="7" xr3:uid="{F75B2BBF-0A88-42DC-A528-3982C3F5A807}" name="Main Mode Taxi or minicab      " dataDxfId="36"/>
    <tableColumn id="8" xr3:uid="{29B4405C-4B78-41C6-9CD0-00F423F8E80B}" name="Main Mode Rail       " dataDxfId="35"/>
    <tableColumn id="9" xr3:uid="{4185B62C-AD8D-4952-AA89-05FAFA6BFC50}" name="Main Mode Other        " dataDxfId="34"/>
    <tableColumn id="10" xr3:uid="{54487B09-F8F0-47FA-AB69-0E2CC3921A01}" name="Sample size" dataDxfId="33"/>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EA1A6FD-2C12-468E-9B01-64EEAC09467C}" name="Table_TD4d_Under_5_Miles_Mode" displayName="Table_TD4d_Under_5_Miles_Mode" ref="C79:L89" totalsRowShown="0" headerRowDxfId="32" dataDxfId="30" headerRowBorderDxfId="31" tableBorderDxfId="29">
  <autoFilter ref="C79:L89" xr:uid="{6EA1A6FD-2C12-468E-9B01-64EEAC09467C}"/>
  <tableColumns count="10">
    <tableColumn id="1" xr3:uid="{CD5712E0-F517-4647-8728-2AB7EFD21B60}" name="Survey Year" dataDxfId="28"/>
    <tableColumn id="2" xr3:uid="{8529C8DC-01FD-4597-B011-432251341C73}" name="Main Mode Walking " dataDxfId="27"/>
    <tableColumn id="3" xr3:uid="{B4CBCA14-654E-4295-B26B-C054F509DD66}" name="Main Mode Driver car or van  " dataDxfId="26"/>
    <tableColumn id="4" xr3:uid="{5EA83F77-E1F4-43A7-9AEA-3CBAB8E3AFE1}" name="Main Mode Passenger car or van   " dataDxfId="25"/>
    <tableColumn id="5" xr3:uid="{EB280A8F-4086-489D-B013-C72BFCFF239F}" name="Main Mode Bicycle   " dataDxfId="24"/>
    <tableColumn id="6" xr3:uid="{24B92B0A-0B85-4D54-9E2E-2B1A574EE524}" name="Main Mode Bus    " dataDxfId="23"/>
    <tableColumn id="7" xr3:uid="{7B914475-E5ED-4C86-9E86-3D529DF18C5F}" name="Main Mode Taxi or minicab      " dataDxfId="22"/>
    <tableColumn id="8" xr3:uid="{C566CD68-E35B-4D8E-AA52-4C794AEC817C}" name="Main Mode Rail       " dataDxfId="21"/>
    <tableColumn id="9" xr3:uid="{698F8C06-274C-4003-A0C8-BF4C2720DBA7}" name="Main Mode Other        " dataDxfId="20"/>
    <tableColumn id="10" xr3:uid="{2067641C-DC23-49F5-BD89-34A866131801}" name="Sample size" dataDxfId="19"/>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2992067-86B1-4577-8C39-C76C292F91A3}" name="Table_TD5a_Distance_by_Mode" displayName="Table_TD5a_Distance_by_Mode" ref="C95:K102" totalsRowShown="0" headerRowDxfId="18" dataDxfId="17" tableBorderDxfId="16" headerRowCellStyle="Normal 2 2">
  <autoFilter ref="C95:K102" xr:uid="{82992067-86B1-4577-8C39-C76C292F91A3}"/>
  <tableColumns count="9">
    <tableColumn id="1" xr3:uid="{981D7331-AA16-47C6-A268-5A09BF820A03}" name="Statistic" dataDxfId="15"/>
    <tableColumn id="2" xr3:uid="{49CAE60C-D225-40C0-A222-7C12BC0398A2}" name="Walking" dataDxfId="14"/>
    <tableColumn id="3" xr3:uid="{96891A77-4B9D-4D8D-90F0-C346F3DE0150}" name="Driver car or van" dataDxfId="13"/>
    <tableColumn id="4" xr3:uid="{34FA0C95-76F6-489A-8350-996967090C1F}" name="Passenger car or van" dataDxfId="12"/>
    <tableColumn id="5" xr3:uid="{290EFCE0-AB10-4591-8F0C-62ABA4FCA057}" name="Bicycle" dataDxfId="11"/>
    <tableColumn id="6" xr3:uid="{B9EC2776-7710-451F-9E73-AB1995767A64}" name="Bus" dataDxfId="10"/>
    <tableColumn id="7" xr3:uid="{651C1C92-8202-4057-97C7-CEBFF1F386CE}" name="Taxi or minicab" dataDxfId="9"/>
    <tableColumn id="8" xr3:uid="{E7839A6D-F2D6-4987-B5B9-A9B7CE94F134}" name="Rail" dataDxfId="8"/>
    <tableColumn id="9" xr3:uid="{E7913A7E-1404-44F0-B101-79AEEF71DDE0}" name="Other" dataDxfId="7"/>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O57" dT="2023-07-20T09:04:47.95" personId="{1D8B349D-9034-4CA5-A33C-39652421B6E1}" id="{94BD1D7A-57D5-476E-90B5-BF09399CC9A1}">
    <text xml:space="preserve">@Seán Fortune So this is 3.6 billion journeys across Scotland per year. But G18 is 9.8 million journeys. </text>
    <mentions>
      <mention mentionpersonId="{1E676806-FEB5-469A-ACA2-5C8905FFF01D}" mentionId="{501DA62F-5872-47ED-94AE-FA082796CE86}" startIndex="0" length="13"/>
    </mentions>
  </threadedComment>
  <threadedComment ref="O57" dT="2023-07-20T10:09:38.26" personId="{220E1968-6902-4918-ABB8-D37FF4715100}" id="{06427F7D-FA7C-48FD-8F59-4894886C99AA}" parentId="{94BD1D7A-57D5-476E-90B5-BF09399CC9A1}">
    <text>@Isabel Winney nice catch, thanks. I've updated G18- it should have read "daily journeys across Scotland"- i.e., equals to O34</text>
    <mentions>
      <mention mentionpersonId="{F8ED9A2E-8740-462B-A07E-BE9C995E269F}" mentionId="{28C1B42F-99CC-4416-B616-1D90D5666AB9}" startIndex="0" length="14"/>
    </mentions>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hyperlink" Target="https://www.transport.gov.scot/publication/scottish-transport-statistics-no-39-2020-edition/" TargetMode="External"/><Relationship Id="rId1" Type="http://schemas.openxmlformats.org/officeDocument/2006/relationships/hyperlink" Target="https://assets.publishing.service.gov.uk/government/uploads/system/uploads/attachment_data/file/763837/vehicle-licensing-statistics-notes-definitions.pdf" TargetMode="Externa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naei.beis.gov.uk/data/ef-transport" TargetMode="External"/><Relationship Id="rId1" Type="http://schemas.openxmlformats.org/officeDocument/2006/relationships/hyperlink" Target="https://naei.beis.gov.uk/data/ef-transport" TargetMode="External"/><Relationship Id="rId4" Type="http://schemas.openxmlformats.org/officeDocument/2006/relationships/comments" Target="../comments4.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ns.gov.uk/peoplepopulationandcommunity/populationandmigration/populationprojections/datasets/2020basedinterimnationalpopulationprojectionsyearendingjune2022estimatedinternationalmigrationvariant" TargetMode="External"/><Relationship Id="rId1" Type="http://schemas.openxmlformats.org/officeDocument/2006/relationships/hyperlink" Target="https://www.nrscotland.gov.uk/statistics-and-data/statistics/statistics-by-theme/population/population-estimates/mid-year-population-estimates/population-estimates-time-series-data"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printerSettings" Target="../printerSettings/printerSettings2.bin"/><Relationship Id="rId7" Type="http://schemas.openxmlformats.org/officeDocument/2006/relationships/table" Target="../tables/table5.xml"/><Relationship Id="rId2" Type="http://schemas.openxmlformats.org/officeDocument/2006/relationships/hyperlink" Target="https://www.transport.gov.scot/publication/transport-and-travel-in-scotland-2019-results-from-the-scottish-household-survey/" TargetMode="External"/><Relationship Id="rId1" Type="http://schemas.openxmlformats.org/officeDocument/2006/relationships/hyperlink" Target="https://www.transport.gov.scot/publication/transport-and-travel-in-scotland-2021-results-from-the-scottish-household-survey/" TargetMode="External"/><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vmlDrawing" Target="../drawings/vmlDrawing2.vml"/><Relationship Id="rId9"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2" Type="http://schemas.openxmlformats.org/officeDocument/2006/relationships/hyperlink" Target="https://naei.beis.gov.uk/reports/reports?section_id=4" TargetMode="External"/><Relationship Id="rId1" Type="http://schemas.openxmlformats.org/officeDocument/2006/relationships/hyperlink" Target="https://naei.beis.gov.uk/reports/reports?section_id=4"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gov.uk/government/publications/greenhouse-gas-reporting-conversion-factors-2023"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transport.gov.scot/publication/scottish-transport-statistics-2022/" TargetMode="External"/><Relationship Id="rId2" Type="http://schemas.openxmlformats.org/officeDocument/2006/relationships/hyperlink" Target="https://www.transport.gov.scot/publication/scottish-transport-statistics-no-39-2020-edition/" TargetMode="External"/><Relationship Id="rId1" Type="http://schemas.openxmlformats.org/officeDocument/2006/relationships/hyperlink" Target="https://naei.beis.gov.uk/reports/reports?report_id=108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460AD-8BC7-4FBA-A854-6EDDB6622D59}">
  <sheetPr>
    <tabColor theme="9"/>
  </sheetPr>
  <dimension ref="B4:S21"/>
  <sheetViews>
    <sheetView showGridLines="0" tabSelected="1" topLeftCell="A8" zoomScale="103" zoomScaleNormal="100" workbookViewId="0">
      <selection activeCell="J14" sqref="J14"/>
    </sheetView>
  </sheetViews>
  <sheetFormatPr defaultRowHeight="18" x14ac:dyDescent="0.35"/>
  <cols>
    <col min="1" max="1" width="8.88671875" style="19"/>
    <col min="2" max="2" width="65.5546875" style="19" customWidth="1"/>
    <col min="3" max="3" width="15.44140625" style="19" customWidth="1"/>
    <col min="4" max="4" width="9.77734375" style="19" customWidth="1"/>
    <col min="5" max="5" width="15" style="19" customWidth="1"/>
    <col min="6" max="6" width="11.44140625" style="19" customWidth="1"/>
    <col min="7" max="7" width="18.109375" style="19" customWidth="1"/>
    <col min="8" max="8" width="12" style="19" customWidth="1"/>
    <col min="9" max="9" width="16.44140625" style="19" customWidth="1"/>
    <col min="10" max="12" width="8.88671875" style="19"/>
    <col min="13" max="13" width="22.33203125" style="19" customWidth="1"/>
    <col min="14" max="14" width="22.109375" style="19" customWidth="1"/>
    <col min="15" max="15" width="26.33203125" style="19" customWidth="1"/>
    <col min="16" max="16" width="12.109375" style="19" customWidth="1"/>
    <col min="17" max="17" width="14.5546875" style="19" customWidth="1"/>
    <col min="18" max="18" width="19" style="19" customWidth="1"/>
    <col min="19" max="19" width="55.6640625" style="19" customWidth="1"/>
    <col min="20" max="16384" width="8.88671875" style="19"/>
  </cols>
  <sheetData>
    <row r="4" spans="2:19" x14ac:dyDescent="0.35">
      <c r="K4" s="26"/>
      <c r="L4" s="26"/>
      <c r="M4" s="26"/>
      <c r="N4" s="26"/>
      <c r="O4" s="26"/>
      <c r="P4" s="26"/>
    </row>
    <row r="5" spans="2:19" x14ac:dyDescent="0.35">
      <c r="K5" s="26"/>
      <c r="L5" s="26"/>
      <c r="M5" s="26"/>
      <c r="N5" s="26"/>
      <c r="O5" s="26"/>
      <c r="P5" s="26"/>
    </row>
    <row r="6" spans="2:19" x14ac:dyDescent="0.35">
      <c r="K6" s="26"/>
      <c r="L6" s="26"/>
      <c r="M6" s="26"/>
      <c r="N6" s="26"/>
      <c r="O6" s="26"/>
      <c r="P6" s="26"/>
    </row>
    <row r="7" spans="2:19" ht="18.600000000000001" thickBot="1" x14ac:dyDescent="0.4">
      <c r="B7" s="19" t="s">
        <v>529</v>
      </c>
      <c r="K7" s="26"/>
      <c r="L7" s="26"/>
      <c r="M7" s="27" t="s">
        <v>536</v>
      </c>
      <c r="N7" s="26"/>
      <c r="O7" s="26"/>
      <c r="P7" s="26"/>
    </row>
    <row r="8" spans="2:19" ht="70.2" thickBot="1" x14ac:dyDescent="0.4">
      <c r="B8" s="578" t="s">
        <v>0</v>
      </c>
      <c r="C8" s="580" t="s">
        <v>1</v>
      </c>
      <c r="D8" s="582" t="s">
        <v>2</v>
      </c>
      <c r="E8" s="583"/>
      <c r="F8" s="582" t="s">
        <v>3</v>
      </c>
      <c r="G8" s="583"/>
      <c r="H8" s="582" t="s">
        <v>4</v>
      </c>
      <c r="I8" s="583"/>
      <c r="K8" s="26"/>
      <c r="L8" s="28"/>
      <c r="M8" s="29" t="s">
        <v>521</v>
      </c>
      <c r="N8" s="30" t="s">
        <v>531</v>
      </c>
      <c r="O8" s="30" t="s">
        <v>530</v>
      </c>
      <c r="P8" s="31" t="s">
        <v>522</v>
      </c>
      <c r="Q8" s="30" t="s">
        <v>523</v>
      </c>
      <c r="R8" s="30" t="s">
        <v>532</v>
      </c>
      <c r="S8" s="30" t="s">
        <v>533</v>
      </c>
    </row>
    <row r="9" spans="2:19" ht="75" thickBot="1" x14ac:dyDescent="0.4">
      <c r="B9" s="579"/>
      <c r="C9" s="581"/>
      <c r="D9" s="32" t="s">
        <v>534</v>
      </c>
      <c r="E9" s="33" t="s">
        <v>535</v>
      </c>
      <c r="F9" s="32" t="s">
        <v>534</v>
      </c>
      <c r="G9" s="33" t="s">
        <v>535</v>
      </c>
      <c r="H9" s="32" t="s">
        <v>534</v>
      </c>
      <c r="I9" s="33" t="s">
        <v>535</v>
      </c>
      <c r="K9" s="26"/>
      <c r="L9" s="26"/>
      <c r="M9" s="34" t="s">
        <v>524</v>
      </c>
      <c r="N9" s="35">
        <f>SUM('Tatis Tables (2021)'!P77:P80)</f>
        <v>0.2235</v>
      </c>
      <c r="O9" s="36">
        <f>'Dashboard calculations'!J23</f>
        <v>4.9828834167194733E-2</v>
      </c>
      <c r="P9" s="36" t="str">
        <f>_xlfn.CONCAT(TEXT('Dashboard calculations'!G15, "0%"), "-", TEXT('Dashboard calculations'!F15, "0%"))</f>
        <v>55%-57%</v>
      </c>
      <c r="Q9" s="36" t="str">
        <f>_xlfn.CONCAT(TEXT('Dashboard calculations'!G23, "0%"), "-", TEXT('Dashboard calculations'!F23, "0%"))</f>
        <v>7%-8%</v>
      </c>
      <c r="R9" s="36" t="str">
        <f>_xlfn.CONCAT(TEXT('Dashboard calculations'!H43, "0%"), "-", TEXT('Dashboard calculations'!F43, "0%"))</f>
        <v>23%-28%</v>
      </c>
      <c r="S9" s="36" t="s">
        <v>527</v>
      </c>
    </row>
    <row r="10" spans="2:19" ht="18.600000000000001" thickBot="1" x14ac:dyDescent="0.4">
      <c r="B10" s="37" t="s">
        <v>5</v>
      </c>
      <c r="C10" s="38">
        <v>0.4</v>
      </c>
      <c r="D10" s="39">
        <f>'Dashboard calculations'!C42*C10</f>
        <v>370.96334768041629</v>
      </c>
      <c r="E10" s="40">
        <f>D10/'Dashboard calculations'!$C$41</f>
        <v>4.6451542179417313E-2</v>
      </c>
      <c r="F10" s="39">
        <f>'Dashboard calculations'!D42*C10</f>
        <v>381.11828030268913</v>
      </c>
      <c r="G10" s="40">
        <f>F10/'Dashboard calculations'!$D$41</f>
        <v>4.0821555533427992E-2</v>
      </c>
      <c r="H10" s="41">
        <f>'Dashboard calculations'!E42*C10</f>
        <v>388.83442989362874</v>
      </c>
      <c r="I10" s="577">
        <f>H10/'Dashboard calculations'!$E$41</f>
        <v>3.6489991029846652E-2</v>
      </c>
      <c r="K10" s="26"/>
      <c r="L10" s="26"/>
      <c r="M10" s="34" t="s">
        <v>525</v>
      </c>
      <c r="N10" s="42">
        <f>SUM('Tatis Tables (2021)'!P81:P84)</f>
        <v>0.26401999999999998</v>
      </c>
      <c r="O10" s="42" t="str">
        <f>_xlfn.CONCAT(TEXT('Dashboard calculations'!J26, "0%"), "-", TEXT('Dashboard calculations'!I26, "0%"))</f>
        <v>38%-39%</v>
      </c>
      <c r="P10" s="42" t="str">
        <f>_xlfn.CONCAT(TEXT('Dashboard calculations'!G15, "0%"), "-", TEXT('Dashboard calculations'!F15, "0%"))</f>
        <v>55%-57%</v>
      </c>
      <c r="Q10" s="42" t="str">
        <f>_xlfn.CONCAT(TEXT('Dashboard calculations'!H26, "0%"), "-", TEXT('Dashboard calculations'!F26, "0%"))</f>
        <v>56%-59%</v>
      </c>
      <c r="R10" s="42" t="str">
        <f>_xlfn.CONCAT(TEXT('Dashboard calculations'!H46, "0%"))</f>
        <v>53%</v>
      </c>
      <c r="S10" s="42">
        <v>0.05</v>
      </c>
    </row>
    <row r="11" spans="2:19" ht="18.600000000000001" thickBot="1" x14ac:dyDescent="0.4">
      <c r="B11" s="37" t="s">
        <v>504</v>
      </c>
      <c r="C11" s="38">
        <v>0.4</v>
      </c>
      <c r="D11" s="39">
        <f>('Dashboard calculations'!C43-'Dashboard calculations'!C42)*$C$11</f>
        <v>537.33771759688159</v>
      </c>
      <c r="E11" s="40">
        <f>D11/'Dashboard calculations'!$C$41</f>
        <v>6.728472181851905E-2</v>
      </c>
      <c r="F11" s="39">
        <f>('Dashboard calculations'!D43-'Dashboard calculations'!D42)*$C$11</f>
        <v>562.79751299263387</v>
      </c>
      <c r="G11" s="40">
        <f>F11/'Dashboard calculations'!$D$41</f>
        <v>6.028120695878849E-2</v>
      </c>
      <c r="H11" s="39">
        <f>('Dashboard calculations'!E43-'Dashboard calculations'!E42)*$C$11</f>
        <v>585.11137822809076</v>
      </c>
      <c r="I11" s="577">
        <f>H11/'Dashboard calculations'!$E$41</f>
        <v>5.4909512382545538E-2</v>
      </c>
      <c r="K11" s="43"/>
      <c r="L11" s="43"/>
      <c r="M11" s="34" t="s">
        <v>526</v>
      </c>
      <c r="N11" s="44">
        <f>'Tatis Tables (2021)'!P85</f>
        <v>4.2839999999999996E-2</v>
      </c>
      <c r="O11" s="44" t="str">
        <f>_xlfn.CONCAT(TEXT('Dashboard calculations'!I27, "0%"), "-", TEXT('Dashboard calculations'!K27, "0%"))</f>
        <v>22%-24%</v>
      </c>
      <c r="P11" s="44" t="str">
        <f>_xlfn.CONCAT(TEXT('Dashboard calculations'!G15, "0%"), "-", TEXT('Dashboard calculations'!F15, "0%"))</f>
        <v>55%-57%</v>
      </c>
      <c r="Q11" s="44" t="str">
        <f>_xlfn.CONCAT(TEXT('Dashboard calculations'!F27, "0%"), "-", TEXT('Dashboard calculations'!H27, "0%"))</f>
        <v>34%-37%</v>
      </c>
      <c r="R11" s="44" t="str">
        <f>_xlfn.CONCAT(TEXT('Dashboard calculations'!F47, "0%"), "-", TEXT('Dashboard calculations'!H47, "0%"))</f>
        <v>18%-24%</v>
      </c>
      <c r="S11" s="44">
        <v>0.02</v>
      </c>
    </row>
    <row r="12" spans="2:19" x14ac:dyDescent="0.35">
      <c r="B12" s="37"/>
      <c r="C12" s="38"/>
      <c r="D12" s="39"/>
      <c r="E12" s="40"/>
      <c r="F12" s="39"/>
      <c r="G12" s="40"/>
      <c r="H12" s="39"/>
      <c r="I12" s="575"/>
      <c r="M12" s="45"/>
    </row>
    <row r="13" spans="2:19" x14ac:dyDescent="0.35">
      <c r="B13" s="37" t="s">
        <v>6</v>
      </c>
      <c r="C13" s="38">
        <v>0.4</v>
      </c>
      <c r="D13" s="39">
        <f>'Dashboard calculations'!C43*C13</f>
        <v>908.30106527729788</v>
      </c>
      <c r="E13" s="40">
        <f>D13/'Dashboard calculations'!$C$41</f>
        <v>0.11373626399793636</v>
      </c>
      <c r="F13" s="39">
        <f>'Dashboard calculations'!D43*C13</f>
        <v>943.91579329532306</v>
      </c>
      <c r="G13" s="40">
        <f>F13/'Dashboard calculations'!$D$41</f>
        <v>0.10110276249221649</v>
      </c>
      <c r="H13" s="39">
        <f>'Dashboard calculations'!E43*C13</f>
        <v>973.94580812171944</v>
      </c>
      <c r="I13" s="737">
        <f>H13/'Dashboard calculations'!$E$41</f>
        <v>9.1399503412392183E-2</v>
      </c>
    </row>
    <row r="14" spans="2:19" x14ac:dyDescent="0.35">
      <c r="B14" s="37" t="s">
        <v>7</v>
      </c>
      <c r="C14" s="38">
        <v>0.1</v>
      </c>
      <c r="D14" s="39">
        <f>('Dashboard calculations'!C46*$C$14)-(((('Tatis Tables (2021)'!$Q$71*'gCO2e for various Transport'!L32)+('Tatis Tables (2021)'!$Q$70*'gCO2e for various Transport'!L39)+('Tatis Tables (2021)'!$Q$69*'gCO2e for various Transport'!L46)+('Tatis Tables (2021)'!$Q$68*'gCO2e for various Transport'!L53))/1000000)*$C$14)</f>
        <v>403.92399825528196</v>
      </c>
      <c r="E14" s="40">
        <f>D14/'Dashboard calculations'!$C$41</f>
        <v>5.0578831465577255E-2</v>
      </c>
      <c r="F14" s="39">
        <f>('Dashboard calculations'!D46*$C$14)-(((('Tatis Tables (2021)'!$Q$71*'gCO2e for various Transport'!L32)+('Tatis Tables (2021)'!$Q$70*'gCO2e for various Transport'!L39)+('Tatis Tables (2021)'!$Q$69*'gCO2e for various Transport'!L46)+('Tatis Tables (2021)'!$Q$68*'gCO2e for various Transport'!L53))/1000000)*$C$14)</f>
        <v>476.51433770161907</v>
      </c>
      <c r="G14" s="40">
        <f>F14/'Dashboard calculations'!$D$41</f>
        <v>5.1039421366805671E-2</v>
      </c>
      <c r="H14" s="39">
        <f>('Dashboard calculations'!E46*$C$14)-(((('Tatis Tables (2021)'!$Q$71*'gCO2e for various Transport'!N32)+('Tatis Tables (2021)'!$Q$70*'gCO2e for various Transport'!N39)+('Tatis Tables (2021)'!$Q$69*'gCO2e for various Transport'!N46)+('Tatis Tables (2021)'!$Q$68*'gCO2e for various Transport'!N53))/1000000)*$C$14)</f>
        <v>521.07542804192246</v>
      </c>
      <c r="I14" s="737">
        <f>H14/'Dashboard calculations'!$E$41</f>
        <v>4.8900087629392332E-2</v>
      </c>
      <c r="K14" s="19" t="s">
        <v>9</v>
      </c>
    </row>
    <row r="15" spans="2:19" ht="15" customHeight="1" thickBot="1" x14ac:dyDescent="0.4">
      <c r="B15" s="46" t="s">
        <v>8</v>
      </c>
      <c r="C15" s="47">
        <v>0.1</v>
      </c>
      <c r="D15" s="39">
        <f>('Dashboard calculations'!C47*C15)-((('Tatis Tables (2021)'!Q72*'gCO2e for various Transport'!L24)/1000000)*C15)</f>
        <v>127.10202467491989</v>
      </c>
      <c r="E15" s="40">
        <f>D15/'Dashboard calculations'!$C$41</f>
        <v>1.5915548253469858E-2</v>
      </c>
      <c r="F15" s="39">
        <f>('Dashboard calculations'!D47*C15)-((('Tatis Tables (2021)'!Q72*'gCO2e for various Transport'!L24)/1000000)*C15)</f>
        <v>180.62531620274552</v>
      </c>
      <c r="G15" s="40">
        <f>F15/'Dashboard calculations'!$D$41</f>
        <v>1.9346766495318229E-2</v>
      </c>
      <c r="H15" s="39">
        <f>'Dashboard calculations'!E47*C15-((('Tatis Tables (2021)'!Q72*'gCO2e for various Transport'!L24)/1000000)*C15)</f>
        <v>234.14860773057123</v>
      </c>
      <c r="I15" s="737">
        <f>H15/'Dashboard calculations'!$E$41</f>
        <v>2.1973570082456387E-2</v>
      </c>
    </row>
    <row r="16" spans="2:19" ht="18.600000000000001" thickBot="1" x14ac:dyDescent="0.4">
      <c r="B16" s="48" t="s">
        <v>10</v>
      </c>
      <c r="C16" s="49"/>
      <c r="D16" s="50">
        <f t="shared" ref="D16:I16" si="0">SUM(D13:D15)</f>
        <v>1439.3270882074999</v>
      </c>
      <c r="E16" s="51">
        <f t="shared" si="0"/>
        <v>0.18023064371698347</v>
      </c>
      <c r="F16" s="52">
        <f t="shared" si="0"/>
        <v>1601.0554471996877</v>
      </c>
      <c r="G16" s="51">
        <f t="shared" si="0"/>
        <v>0.17148895035434039</v>
      </c>
      <c r="H16" s="52">
        <f t="shared" si="0"/>
        <v>1729.169843894213</v>
      </c>
      <c r="I16" s="576">
        <f t="shared" si="0"/>
        <v>0.16227316112424089</v>
      </c>
    </row>
    <row r="21" spans="12:12" x14ac:dyDescent="0.35">
      <c r="L21" s="19" t="s">
        <v>9</v>
      </c>
    </row>
  </sheetData>
  <sheetProtection algorithmName="SHA-512" hashValue="qfCpvDhTGyVF8N4FnNwcZybWOyrbftXWbA1H37BEbVsTtN1XHdFGCk1ZTLlK6b1k/ocnGNw10cTPcBRndBi9oA==" saltValue="Ov9lBju6HFlOg/AM+MHfNA==" spinCount="100000" sheet="1" objects="1" scenarios="1"/>
  <mergeCells count="5">
    <mergeCell ref="B8:B9"/>
    <mergeCell ref="C8:C9"/>
    <mergeCell ref="D8:E8"/>
    <mergeCell ref="F8:G8"/>
    <mergeCell ref="H8:I8"/>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447076B-B8EC-4DEC-B15B-4ABB96CFD30D}">
          <x14:formula1>
            <xm:f>'Data Validation tables'!$C$4:$C$14</xm:f>
          </x14:formula1>
          <xm:sqref>C10:C15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ED700-F86B-4156-87AB-261AA190C095}">
  <sheetPr>
    <tabColor theme="5" tint="0.59999389629810485"/>
  </sheetPr>
  <dimension ref="A2:AD45"/>
  <sheetViews>
    <sheetView zoomScale="93" workbookViewId="0">
      <selection activeCell="J9" sqref="J9"/>
    </sheetView>
  </sheetViews>
  <sheetFormatPr defaultRowHeight="18" x14ac:dyDescent="0.35"/>
  <cols>
    <col min="1" max="1" width="33.77734375" style="19" customWidth="1"/>
    <col min="2" max="2" width="9" style="19" bestFit="1" customWidth="1"/>
    <col min="3" max="3" width="9" style="19" customWidth="1"/>
    <col min="4" max="12" width="9" style="19" bestFit="1" customWidth="1"/>
    <col min="13" max="13" width="19.6640625" style="19" customWidth="1"/>
    <col min="14" max="14" width="9" style="19" bestFit="1" customWidth="1"/>
    <col min="15" max="17" width="8.88671875" style="19"/>
    <col min="18" max="23" width="9.88671875" style="19" bestFit="1" customWidth="1"/>
    <col min="24" max="24" width="16.77734375" style="19" bestFit="1" customWidth="1"/>
    <col min="25" max="16384" width="8.88671875" style="19"/>
  </cols>
  <sheetData>
    <row r="2" spans="1:14" x14ac:dyDescent="0.35">
      <c r="B2" s="642" t="s">
        <v>57</v>
      </c>
      <c r="C2" s="721"/>
      <c r="D2" s="460" t="s">
        <v>408</v>
      </c>
      <c r="E2" s="460"/>
      <c r="F2" s="460"/>
      <c r="G2" s="460"/>
      <c r="H2" s="460"/>
      <c r="I2" s="460"/>
      <c r="J2" s="460"/>
      <c r="K2" s="460"/>
      <c r="L2" s="460"/>
      <c r="M2" s="460"/>
    </row>
    <row r="3" spans="1:14" x14ac:dyDescent="0.35">
      <c r="B3" s="642" t="s">
        <v>59</v>
      </c>
      <c r="C3" s="721"/>
      <c r="D3" s="724" t="s">
        <v>409</v>
      </c>
      <c r="E3" s="725"/>
      <c r="F3" s="725"/>
      <c r="G3" s="725"/>
      <c r="H3" s="725"/>
      <c r="I3" s="725"/>
      <c r="J3" s="725"/>
      <c r="K3" s="725"/>
      <c r="L3" s="725"/>
      <c r="M3" s="726"/>
    </row>
    <row r="4" spans="1:14" x14ac:dyDescent="0.35">
      <c r="B4" s="461" t="s">
        <v>60</v>
      </c>
      <c r="C4" s="461"/>
      <c r="D4" s="599">
        <v>2020</v>
      </c>
      <c r="E4" s="600"/>
      <c r="F4" s="600"/>
      <c r="G4" s="600"/>
      <c r="H4" s="600"/>
      <c r="I4" s="600"/>
      <c r="J4" s="600"/>
      <c r="K4" s="600"/>
      <c r="L4" s="600"/>
      <c r="M4" s="601"/>
    </row>
    <row r="5" spans="1:14" x14ac:dyDescent="0.35">
      <c r="B5" s="462" t="s">
        <v>62</v>
      </c>
      <c r="C5" s="463"/>
      <c r="D5" s="599" t="s">
        <v>592</v>
      </c>
      <c r="E5" s="600"/>
      <c r="F5" s="600"/>
      <c r="G5" s="600"/>
      <c r="H5" s="600"/>
      <c r="I5" s="600"/>
      <c r="J5" s="600"/>
      <c r="K5" s="600"/>
      <c r="L5" s="600"/>
      <c r="M5" s="601"/>
    </row>
    <row r="6" spans="1:14" ht="18.600000000000001" thickBot="1" x14ac:dyDescent="0.4"/>
    <row r="7" spans="1:14" x14ac:dyDescent="0.35">
      <c r="A7" s="464"/>
      <c r="B7" s="465" t="s">
        <v>315</v>
      </c>
      <c r="C7" s="466">
        <v>2010</v>
      </c>
      <c r="D7" s="466">
        <v>2011</v>
      </c>
      <c r="E7" s="466">
        <v>2012</v>
      </c>
      <c r="F7" s="466">
        <v>2013</v>
      </c>
      <c r="G7" s="466">
        <v>2014</v>
      </c>
      <c r="H7" s="466">
        <v>2015</v>
      </c>
      <c r="I7" s="466">
        <v>2016</v>
      </c>
      <c r="J7" s="466">
        <v>2017</v>
      </c>
      <c r="K7" s="466">
        <v>2018</v>
      </c>
      <c r="L7" s="467">
        <v>2019</v>
      </c>
      <c r="M7" s="466">
        <v>2020</v>
      </c>
      <c r="N7" s="468">
        <v>2021</v>
      </c>
    </row>
    <row r="8" spans="1:14" x14ac:dyDescent="0.35">
      <c r="A8" s="469"/>
      <c r="B8" s="470"/>
      <c r="C8" s="470"/>
      <c r="D8" s="470"/>
      <c r="E8" s="470"/>
      <c r="F8" s="470"/>
      <c r="G8" s="471"/>
      <c r="H8" s="471"/>
      <c r="I8" s="471"/>
      <c r="J8" s="471"/>
      <c r="K8" s="471"/>
      <c r="L8" s="62"/>
      <c r="N8" s="472" t="s">
        <v>410</v>
      </c>
    </row>
    <row r="9" spans="1:14" x14ac:dyDescent="0.35">
      <c r="A9" s="469" t="s">
        <v>411</v>
      </c>
      <c r="B9" s="471"/>
      <c r="C9" s="471"/>
      <c r="D9" s="471"/>
      <c r="E9" s="471"/>
      <c r="F9" s="471"/>
      <c r="G9" s="471"/>
      <c r="H9" s="471"/>
      <c r="I9" s="471"/>
      <c r="J9" s="471"/>
      <c r="K9" s="471"/>
      <c r="L9" s="473"/>
      <c r="M9" s="471"/>
      <c r="N9" s="474"/>
    </row>
    <row r="10" spans="1:14" x14ac:dyDescent="0.35">
      <c r="A10" s="475" t="s">
        <v>412</v>
      </c>
      <c r="B10" s="476">
        <v>2361.8919999999998</v>
      </c>
      <c r="C10" s="476">
        <v>2364.2649999999999</v>
      </c>
      <c r="D10" s="476">
        <v>2369.1889999999999</v>
      </c>
      <c r="E10" s="476">
        <v>2394.5749999999998</v>
      </c>
      <c r="F10" s="476">
        <v>2436.21</v>
      </c>
      <c r="G10" s="476">
        <v>2495.6329999999998</v>
      </c>
      <c r="H10" s="476">
        <v>2537.35</v>
      </c>
      <c r="I10" s="476">
        <v>2594.3000000000002</v>
      </c>
      <c r="J10" s="476">
        <v>2638.0410000000002</v>
      </c>
      <c r="K10" s="476">
        <v>2664.8739999999998</v>
      </c>
      <c r="L10" s="477">
        <v>2711.1959999999999</v>
      </c>
      <c r="M10" s="476">
        <v>2708</v>
      </c>
      <c r="N10" s="478">
        <v>2712</v>
      </c>
    </row>
    <row r="11" spans="1:14" x14ac:dyDescent="0.35">
      <c r="A11" s="475" t="s">
        <v>413</v>
      </c>
      <c r="B11" s="476">
        <v>66.162999999999997</v>
      </c>
      <c r="C11" s="476">
        <v>62.694000000000003</v>
      </c>
      <c r="D11" s="476">
        <v>60.317</v>
      </c>
      <c r="E11" s="476">
        <v>59.656999999999996</v>
      </c>
      <c r="F11" s="476">
        <v>59.488</v>
      </c>
      <c r="G11" s="476">
        <v>60.637999999999998</v>
      </c>
      <c r="H11" s="476">
        <v>61.604999999999997</v>
      </c>
      <c r="I11" s="476">
        <v>62.743000000000002</v>
      </c>
      <c r="J11" s="476">
        <v>62.482999999999997</v>
      </c>
      <c r="K11" s="476">
        <v>62.210999999999999</v>
      </c>
      <c r="L11" s="477">
        <v>62.515999999999998</v>
      </c>
      <c r="M11" s="476">
        <v>63</v>
      </c>
      <c r="N11" s="478">
        <v>65</v>
      </c>
    </row>
    <row r="12" spans="1:14" x14ac:dyDescent="0.35">
      <c r="A12" s="475" t="s">
        <v>414</v>
      </c>
      <c r="B12" s="476">
        <v>12.218</v>
      </c>
      <c r="C12" s="476">
        <v>12.111000000000001</v>
      </c>
      <c r="D12" s="476">
        <v>11.929</v>
      </c>
      <c r="E12" s="476">
        <v>11.834</v>
      </c>
      <c r="F12" s="476">
        <v>11.756</v>
      </c>
      <c r="G12" s="476">
        <v>11.913</v>
      </c>
      <c r="H12" s="476">
        <v>11.932</v>
      </c>
      <c r="I12" s="476">
        <v>11.833</v>
      </c>
      <c r="J12" s="476">
        <v>11.754</v>
      </c>
      <c r="K12" s="476">
        <v>11.728</v>
      </c>
      <c r="L12" s="477">
        <v>11.503</v>
      </c>
      <c r="M12" s="476">
        <v>10</v>
      </c>
      <c r="N12" s="478">
        <v>11</v>
      </c>
    </row>
    <row r="13" spans="1:14" x14ac:dyDescent="0.35">
      <c r="A13" s="475" t="s">
        <v>415</v>
      </c>
      <c r="B13" s="476">
        <v>31.24</v>
      </c>
      <c r="C13" s="476">
        <v>30.359000000000002</v>
      </c>
      <c r="D13" s="476">
        <v>29.408000000000001</v>
      </c>
      <c r="E13" s="476">
        <v>28.861999999999998</v>
      </c>
      <c r="F13" s="476">
        <v>28.861000000000001</v>
      </c>
      <c r="G13" s="476">
        <v>29.353999999999999</v>
      </c>
      <c r="H13" s="476">
        <v>29.733000000000001</v>
      </c>
      <c r="I13" s="476">
        <v>30.25</v>
      </c>
      <c r="J13" s="476">
        <v>30.321000000000002</v>
      </c>
      <c r="K13" s="476">
        <v>28.308</v>
      </c>
      <c r="L13" s="477">
        <v>28.071000000000002</v>
      </c>
      <c r="M13" s="476">
        <v>27</v>
      </c>
      <c r="N13" s="478">
        <v>28</v>
      </c>
    </row>
    <row r="14" spans="1:14" ht="20.399999999999999" x14ac:dyDescent="0.35">
      <c r="A14" s="475" t="s">
        <v>587</v>
      </c>
      <c r="B14" s="476">
        <v>203.04900000000001</v>
      </c>
      <c r="C14" s="476">
        <v>205.99799999999999</v>
      </c>
      <c r="D14" s="476">
        <v>210.71900000000002</v>
      </c>
      <c r="E14" s="476">
        <v>212.44900000000001</v>
      </c>
      <c r="F14" s="476">
        <v>212.75800000000001</v>
      </c>
      <c r="G14" s="476">
        <v>213.52799999999999</v>
      </c>
      <c r="H14" s="476">
        <v>211.40199999999999</v>
      </c>
      <c r="I14" s="476">
        <v>208.37799999999999</v>
      </c>
      <c r="J14" s="476">
        <v>207.44200000000001</v>
      </c>
      <c r="K14" s="476">
        <v>211.41800000000001</v>
      </c>
      <c r="L14" s="477">
        <v>215.11199999999999</v>
      </c>
      <c r="M14" s="476">
        <v>223</v>
      </c>
      <c r="N14" s="478">
        <v>236</v>
      </c>
    </row>
    <row r="15" spans="1:14" ht="20.399999999999999" x14ac:dyDescent="0.35">
      <c r="A15" s="475" t="s">
        <v>588</v>
      </c>
      <c r="B15" s="476">
        <v>9.3350000000000009</v>
      </c>
      <c r="C15" s="476">
        <v>9.2550000000000008</v>
      </c>
      <c r="D15" s="476">
        <v>9.3450000000000006</v>
      </c>
      <c r="E15" s="476">
        <v>9.7360000000000007</v>
      </c>
      <c r="F15" s="476">
        <v>10.169</v>
      </c>
      <c r="G15" s="476">
        <v>10.294</v>
      </c>
      <c r="H15" s="476">
        <v>10.738</v>
      </c>
      <c r="I15" s="476">
        <v>11.349</v>
      </c>
      <c r="J15" s="476">
        <v>11.558</v>
      </c>
      <c r="K15" s="476">
        <v>12.176</v>
      </c>
      <c r="L15" s="477">
        <v>12.381</v>
      </c>
      <c r="M15" s="476">
        <v>11</v>
      </c>
      <c r="N15" s="478">
        <v>12</v>
      </c>
    </row>
    <row r="16" spans="1:14" x14ac:dyDescent="0.35">
      <c r="A16" s="479" t="s">
        <v>109</v>
      </c>
      <c r="B16" s="480">
        <f t="shared" ref="B16:F16" si="0">SUM(B10:B15)</f>
        <v>2683.8969999999995</v>
      </c>
      <c r="C16" s="480">
        <f t="shared" si="0"/>
        <v>2684.6819999999998</v>
      </c>
      <c r="D16" s="480">
        <f t="shared" si="0"/>
        <v>2690.9069999999997</v>
      </c>
      <c r="E16" s="480">
        <f t="shared" si="0"/>
        <v>2717.1129999999998</v>
      </c>
      <c r="F16" s="480">
        <f t="shared" si="0"/>
        <v>2759.2419999999993</v>
      </c>
      <c r="G16" s="480">
        <f>SUM(G10:G15)</f>
        <v>2821.3599999999992</v>
      </c>
      <c r="H16" s="480">
        <f>SUM(H10:H15)</f>
        <v>2862.7599999999998</v>
      </c>
      <c r="I16" s="480">
        <f>SUM(I10:I15)</f>
        <v>2918.8530000000005</v>
      </c>
      <c r="J16" s="480">
        <f>SUM(J10:J15)</f>
        <v>2961.5990000000002</v>
      </c>
      <c r="K16" s="480">
        <f t="shared" ref="K16:L16" si="1">SUM(K10:K15)</f>
        <v>2990.7149999999997</v>
      </c>
      <c r="L16" s="481">
        <f t="shared" si="1"/>
        <v>3040.779</v>
      </c>
      <c r="M16" s="480">
        <v>3042</v>
      </c>
      <c r="N16" s="482">
        <v>3064</v>
      </c>
    </row>
    <row r="17" spans="1:23" x14ac:dyDescent="0.35">
      <c r="A17" s="469" t="s">
        <v>416</v>
      </c>
      <c r="B17" s="476"/>
      <c r="C17" s="476"/>
      <c r="D17" s="476"/>
      <c r="E17" s="476"/>
      <c r="F17" s="476"/>
      <c r="G17" s="476"/>
      <c r="H17" s="476"/>
      <c r="I17" s="476"/>
      <c r="J17" s="476"/>
      <c r="K17" s="483"/>
      <c r="L17" s="484"/>
      <c r="M17" s="483"/>
      <c r="N17" s="485"/>
    </row>
    <row r="18" spans="1:23" x14ac:dyDescent="0.35">
      <c r="A18" s="486" t="s">
        <v>417</v>
      </c>
      <c r="B18" s="476">
        <v>2248.5390000000002</v>
      </c>
      <c r="C18" s="476">
        <v>2254.5169999999998</v>
      </c>
      <c r="D18" s="476">
        <v>2264.384</v>
      </c>
      <c r="E18" s="476">
        <v>2285.13</v>
      </c>
      <c r="F18" s="476">
        <v>2319.17</v>
      </c>
      <c r="G18" s="476">
        <v>2369.34</v>
      </c>
      <c r="H18" s="476">
        <v>2394.1950000000002</v>
      </c>
      <c r="I18" s="476">
        <v>2433.096</v>
      </c>
      <c r="J18" s="476">
        <v>2462.3780000000002</v>
      </c>
      <c r="K18" s="476">
        <v>2485.96</v>
      </c>
      <c r="L18" s="477">
        <v>2524.4769999999999</v>
      </c>
      <c r="M18" s="476">
        <v>2520</v>
      </c>
      <c r="N18" s="478">
        <v>2518</v>
      </c>
    </row>
    <row r="19" spans="1:23" x14ac:dyDescent="0.35">
      <c r="A19" s="486" t="s">
        <v>418</v>
      </c>
      <c r="B19" s="476">
        <v>3.5840000000000001</v>
      </c>
      <c r="C19" s="476">
        <v>3.49</v>
      </c>
      <c r="D19" s="476">
        <v>3.5230000000000001</v>
      </c>
      <c r="E19" s="476">
        <v>3.5830000000000002</v>
      </c>
      <c r="F19" s="476">
        <v>3.552</v>
      </c>
      <c r="G19" s="476">
        <v>3.7090000000000001</v>
      </c>
      <c r="H19" s="476">
        <v>3.76</v>
      </c>
      <c r="I19" s="476">
        <v>3.7290000000000001</v>
      </c>
      <c r="J19" s="476">
        <v>3.6349999999999998</v>
      </c>
      <c r="K19" s="476">
        <v>3.4580000000000002</v>
      </c>
      <c r="L19" s="477">
        <v>3.355</v>
      </c>
      <c r="M19" s="476">
        <v>3</v>
      </c>
      <c r="N19" s="478">
        <v>3</v>
      </c>
    </row>
    <row r="20" spans="1:23" x14ac:dyDescent="0.35">
      <c r="A20" s="486" t="s">
        <v>413</v>
      </c>
      <c r="B20" s="476">
        <v>71.978999999999999</v>
      </c>
      <c r="C20" s="476">
        <v>68.623999999999995</v>
      </c>
      <c r="D20" s="476">
        <v>66.221999999999994</v>
      </c>
      <c r="E20" s="476">
        <v>65.683999999999997</v>
      </c>
      <c r="F20" s="476">
        <v>65.965999999999994</v>
      </c>
      <c r="G20" s="476">
        <v>67.278000000000006</v>
      </c>
      <c r="H20" s="476">
        <v>68.373999999999995</v>
      </c>
      <c r="I20" s="476">
        <v>69.75</v>
      </c>
      <c r="J20" s="476">
        <v>69.759</v>
      </c>
      <c r="K20" s="476">
        <v>70.542000000000002</v>
      </c>
      <c r="L20" s="477">
        <v>71.665999999999997</v>
      </c>
      <c r="M20" s="476">
        <v>73</v>
      </c>
      <c r="N20" s="478">
        <v>76</v>
      </c>
    </row>
    <row r="21" spans="1:23" x14ac:dyDescent="0.35">
      <c r="A21" s="486" t="s">
        <v>419</v>
      </c>
      <c r="B21" s="476">
        <v>0.73399999999999999</v>
      </c>
      <c r="C21" s="476">
        <v>0.73199999999999998</v>
      </c>
      <c r="D21" s="476">
        <v>0.73</v>
      </c>
      <c r="E21" s="476">
        <v>0.76900000000000002</v>
      </c>
      <c r="F21" s="476">
        <v>0.82899999999999996</v>
      </c>
      <c r="G21" s="476">
        <v>0.85</v>
      </c>
      <c r="H21" s="476">
        <v>0.85699999999999998</v>
      </c>
      <c r="I21" s="476">
        <v>0.89300000000000002</v>
      </c>
      <c r="J21" s="476">
        <v>0.89900000000000002</v>
      </c>
      <c r="K21" s="476">
        <v>0.92400000000000004</v>
      </c>
      <c r="L21" s="477">
        <v>1.0049999999999999</v>
      </c>
      <c r="M21" s="476">
        <v>1</v>
      </c>
      <c r="N21" s="478">
        <v>1</v>
      </c>
    </row>
    <row r="22" spans="1:23" ht="20.399999999999999" x14ac:dyDescent="0.35">
      <c r="A22" s="486" t="s">
        <v>589</v>
      </c>
      <c r="B22" s="476">
        <v>241.964</v>
      </c>
      <c r="C22" s="476">
        <v>240.227</v>
      </c>
      <c r="D22" s="476">
        <v>237.57</v>
      </c>
      <c r="E22" s="476">
        <v>241.488</v>
      </c>
      <c r="F22" s="476">
        <v>247.429</v>
      </c>
      <c r="G22" s="476">
        <v>256.01100000000002</v>
      </c>
      <c r="H22" s="476">
        <v>269.185</v>
      </c>
      <c r="I22" s="476">
        <v>282.589</v>
      </c>
      <c r="J22" s="476">
        <v>293.59100000000001</v>
      </c>
      <c r="K22" s="476">
        <v>297.55599999999998</v>
      </c>
      <c r="L22" s="477">
        <v>307.56700000000001</v>
      </c>
      <c r="M22" s="476">
        <v>316</v>
      </c>
      <c r="N22" s="478">
        <v>331</v>
      </c>
    </row>
    <row r="23" spans="1:23" ht="20.399999999999999" x14ac:dyDescent="0.35">
      <c r="A23" s="486" t="s">
        <v>590</v>
      </c>
      <c r="B23" s="476">
        <v>37.209000000000003</v>
      </c>
      <c r="C23" s="476">
        <v>36.371000000000002</v>
      </c>
      <c r="D23" s="476">
        <v>35.624000000000002</v>
      </c>
      <c r="E23" s="476">
        <v>35.441000000000003</v>
      </c>
      <c r="F23" s="476">
        <v>35.713999999999999</v>
      </c>
      <c r="G23" s="476">
        <v>36.439</v>
      </c>
      <c r="H23" s="476">
        <v>36.985999999999997</v>
      </c>
      <c r="I23" s="476">
        <v>38.049999999999997</v>
      </c>
      <c r="J23" s="476">
        <v>38.222999999999999</v>
      </c>
      <c r="K23" s="476">
        <v>36.780999999999999</v>
      </c>
      <c r="L23" s="477">
        <v>36.837000000000003</v>
      </c>
      <c r="M23" s="476">
        <v>35</v>
      </c>
      <c r="N23" s="478">
        <v>36</v>
      </c>
    </row>
    <row r="24" spans="1:23" x14ac:dyDescent="0.35">
      <c r="A24" s="486" t="s">
        <v>420</v>
      </c>
      <c r="B24" s="476">
        <v>16.716000000000001</v>
      </c>
      <c r="C24" s="476">
        <v>16.286000000000001</v>
      </c>
      <c r="D24" s="476">
        <v>15.9</v>
      </c>
      <c r="E24" s="476">
        <v>15.567</v>
      </c>
      <c r="F24" s="476">
        <v>15.268000000000001</v>
      </c>
      <c r="G24" s="476">
        <v>15.286</v>
      </c>
      <c r="H24" s="476">
        <v>15.177</v>
      </c>
      <c r="I24" s="476">
        <v>14.917999999999999</v>
      </c>
      <c r="J24" s="476">
        <v>14.667</v>
      </c>
      <c r="K24" s="476">
        <v>14.493</v>
      </c>
      <c r="L24" s="477">
        <v>14.154</v>
      </c>
      <c r="M24" s="476">
        <v>13</v>
      </c>
      <c r="N24" s="478">
        <v>13</v>
      </c>
    </row>
    <row r="25" spans="1:23" x14ac:dyDescent="0.35">
      <c r="A25" s="486" t="s">
        <v>421</v>
      </c>
      <c r="B25" s="476">
        <v>44.859000000000002</v>
      </c>
      <c r="C25" s="476">
        <v>45.456000000000003</v>
      </c>
      <c r="D25" s="476">
        <v>46.765999999999998</v>
      </c>
      <c r="E25" s="476">
        <v>47.558999999999997</v>
      </c>
      <c r="F25" s="476">
        <v>48.197000000000003</v>
      </c>
      <c r="G25" s="476">
        <v>48.597000000000001</v>
      </c>
      <c r="H25" s="476">
        <v>49.575000000000003</v>
      </c>
      <c r="I25" s="476">
        <v>50.39</v>
      </c>
      <c r="J25" s="476">
        <v>52.192999999999998</v>
      </c>
      <c r="K25" s="476">
        <v>54.274999999999999</v>
      </c>
      <c r="L25" s="477">
        <v>55.265000000000001</v>
      </c>
      <c r="M25" s="476">
        <v>56</v>
      </c>
      <c r="N25" s="478">
        <v>58</v>
      </c>
    </row>
    <row r="26" spans="1:23" ht="26.1" customHeight="1" x14ac:dyDescent="0.35">
      <c r="A26" s="486" t="s">
        <v>422</v>
      </c>
      <c r="B26" s="476">
        <v>18.312999999999999</v>
      </c>
      <c r="C26" s="476">
        <v>18.978999999999999</v>
      </c>
      <c r="D26" s="476">
        <v>20.188000000000002</v>
      </c>
      <c r="E26" s="476">
        <v>21.891999999999999</v>
      </c>
      <c r="F26" s="476">
        <v>23.113</v>
      </c>
      <c r="G26" s="476">
        <v>23.85</v>
      </c>
      <c r="H26" s="476">
        <v>24.648</v>
      </c>
      <c r="I26" s="476">
        <v>25.436</v>
      </c>
      <c r="J26" s="476">
        <v>26.254000000000001</v>
      </c>
      <c r="K26" s="476">
        <v>26.725999999999999</v>
      </c>
      <c r="L26" s="477">
        <v>26.452999999999999</v>
      </c>
      <c r="M26" s="476">
        <v>26</v>
      </c>
      <c r="N26" s="478">
        <v>27</v>
      </c>
    </row>
    <row r="27" spans="1:23" ht="39.6" customHeight="1" x14ac:dyDescent="0.35">
      <c r="A27" s="487" t="s">
        <v>423</v>
      </c>
      <c r="B27" s="480">
        <f t="shared" ref="B27:F27" si="2">SUM(B18:B26)</f>
        <v>2683.8969999999995</v>
      </c>
      <c r="C27" s="480">
        <f t="shared" si="2"/>
        <v>2684.6819999999993</v>
      </c>
      <c r="D27" s="480">
        <f t="shared" si="2"/>
        <v>2690.9070000000006</v>
      </c>
      <c r="E27" s="480">
        <f t="shared" si="2"/>
        <v>2717.1129999999998</v>
      </c>
      <c r="F27" s="480">
        <f t="shared" si="2"/>
        <v>2759.2380000000003</v>
      </c>
      <c r="G27" s="480">
        <f>SUM(G18:G26)</f>
        <v>2821.3599999999997</v>
      </c>
      <c r="H27" s="480">
        <f>SUM(H18:H26)</f>
        <v>2862.7570000000001</v>
      </c>
      <c r="I27" s="480">
        <f>SUM(I18:I26)</f>
        <v>2918.8510000000001</v>
      </c>
      <c r="J27" s="480">
        <f>SUM(J18:J26)</f>
        <v>2961.5990000000002</v>
      </c>
      <c r="K27" s="480">
        <f t="shared" ref="K27:L27" si="3">SUM(K18:K26)</f>
        <v>2990.7150000000001</v>
      </c>
      <c r="L27" s="481">
        <f t="shared" si="3"/>
        <v>3040.779</v>
      </c>
      <c r="M27" s="480">
        <v>3042</v>
      </c>
      <c r="N27" s="482">
        <v>3064</v>
      </c>
    </row>
    <row r="28" spans="1:23" ht="19.8" x14ac:dyDescent="0.35">
      <c r="A28" s="488" t="s">
        <v>591</v>
      </c>
      <c r="B28" s="476"/>
      <c r="C28" s="476"/>
      <c r="D28" s="476"/>
      <c r="E28" s="476"/>
      <c r="F28" s="476"/>
      <c r="G28" s="476"/>
      <c r="H28" s="476"/>
      <c r="I28" s="476"/>
      <c r="J28" s="476"/>
      <c r="K28" s="483"/>
      <c r="L28" s="484"/>
      <c r="M28" s="483"/>
      <c r="N28" s="485"/>
      <c r="Q28" s="471" t="s">
        <v>430</v>
      </c>
      <c r="T28" s="471"/>
    </row>
    <row r="29" spans="1:23" x14ac:dyDescent="0.35">
      <c r="A29" s="475" t="s">
        <v>185</v>
      </c>
      <c r="B29" s="476">
        <v>1701.328</v>
      </c>
      <c r="C29" s="476">
        <v>1656.471</v>
      </c>
      <c r="D29" s="476">
        <v>1619.0150000000001</v>
      </c>
      <c r="E29" s="476">
        <v>1591.63</v>
      </c>
      <c r="F29" s="476">
        <v>1566.9</v>
      </c>
      <c r="G29" s="476">
        <v>1552.182</v>
      </c>
      <c r="H29" s="476">
        <v>1522.36</v>
      </c>
      <c r="I29" s="476">
        <v>1509.0160000000001</v>
      </c>
      <c r="J29" s="476">
        <v>1496.903</v>
      </c>
      <c r="K29" s="476">
        <v>1502.854</v>
      </c>
      <c r="L29" s="477">
        <v>1532.7159999999999</v>
      </c>
      <c r="M29" s="476">
        <v>1535</v>
      </c>
      <c r="N29" s="478">
        <v>1536</v>
      </c>
      <c r="Q29" s="489"/>
      <c r="R29" s="490">
        <v>2016</v>
      </c>
      <c r="S29" s="490">
        <v>2017</v>
      </c>
      <c r="T29" s="490">
        <v>2018</v>
      </c>
      <c r="U29" s="491">
        <v>2019</v>
      </c>
      <c r="V29" s="490">
        <v>2020</v>
      </c>
      <c r="W29" s="490">
        <v>2021</v>
      </c>
    </row>
    <row r="30" spans="1:23" x14ac:dyDescent="0.35">
      <c r="A30" s="475" t="s">
        <v>184</v>
      </c>
      <c r="B30" s="476">
        <v>974.29499999999996</v>
      </c>
      <c r="C30" s="476">
        <v>1018.301</v>
      </c>
      <c r="D30" s="476">
        <v>1060.7929999999999</v>
      </c>
      <c r="E30" s="476">
        <v>1112.96</v>
      </c>
      <c r="F30" s="476">
        <v>1177.82</v>
      </c>
      <c r="G30" s="476">
        <v>1252.2529999999999</v>
      </c>
      <c r="H30" s="476">
        <v>1320.5229999999999</v>
      </c>
      <c r="I30" s="476">
        <v>1386.1859999999999</v>
      </c>
      <c r="J30" s="476">
        <v>1435.0519999999999</v>
      </c>
      <c r="K30" s="476">
        <v>1449.6010000000001</v>
      </c>
      <c r="L30" s="477">
        <v>1459.297</v>
      </c>
      <c r="M30" s="476">
        <v>1437</v>
      </c>
      <c r="N30" s="478">
        <v>1417</v>
      </c>
      <c r="Q30" s="492" t="s">
        <v>185</v>
      </c>
      <c r="R30" s="493">
        <f t="shared" ref="R30:W30" si="4">I29/I$37</f>
        <v>0.51698973328888653</v>
      </c>
      <c r="S30" s="493">
        <f t="shared" si="4"/>
        <v>0.50543743430491439</v>
      </c>
      <c r="T30" s="493">
        <f t="shared" si="4"/>
        <v>0.50250659123320007</v>
      </c>
      <c r="U30" s="494">
        <f t="shared" si="4"/>
        <v>0.50405373096828143</v>
      </c>
      <c r="V30" s="493">
        <f t="shared" si="4"/>
        <v>0.50460223537146609</v>
      </c>
      <c r="W30" s="493">
        <f t="shared" si="4"/>
        <v>0.50130548302872058</v>
      </c>
    </row>
    <row r="31" spans="1:23" x14ac:dyDescent="0.35">
      <c r="A31" s="475" t="s">
        <v>424</v>
      </c>
      <c r="B31" s="476">
        <v>2.9540000000000002</v>
      </c>
      <c r="C31" s="476">
        <v>4.28</v>
      </c>
      <c r="D31" s="476">
        <v>5.1680000000000001</v>
      </c>
      <c r="E31" s="476">
        <v>6.1970000000000001</v>
      </c>
      <c r="F31" s="476">
        <v>7.6449999999999996</v>
      </c>
      <c r="G31" s="476">
        <v>9.0299999999999994</v>
      </c>
      <c r="H31" s="476">
        <v>11.331</v>
      </c>
      <c r="I31" s="476">
        <v>14.17</v>
      </c>
      <c r="J31" s="476">
        <v>19.123000000000001</v>
      </c>
      <c r="K31" s="476">
        <v>26.591000000000001</v>
      </c>
      <c r="L31" s="477">
        <v>34.972999999999999</v>
      </c>
      <c r="M31" s="476">
        <v>49</v>
      </c>
      <c r="N31" s="478">
        <v>77</v>
      </c>
      <c r="Q31" s="492" t="s">
        <v>184</v>
      </c>
      <c r="R31" s="493">
        <f t="shared" ref="R31:R38" si="5">I30/$I$37</f>
        <v>0.47490810596361366</v>
      </c>
      <c r="S31" s="493">
        <f t="shared" ref="S31:W38" si="6">J30/J$37</f>
        <v>0.48455310796633849</v>
      </c>
      <c r="T31" s="493">
        <f t="shared" si="6"/>
        <v>0.48470048132302812</v>
      </c>
      <c r="U31" s="494">
        <f t="shared" si="6"/>
        <v>0.47990893123110889</v>
      </c>
      <c r="V31" s="493">
        <f t="shared" si="6"/>
        <v>0.47238658777120318</v>
      </c>
      <c r="W31" s="493">
        <f t="shared" si="6"/>
        <v>0.46246736292428198</v>
      </c>
    </row>
    <row r="32" spans="1:23" x14ac:dyDescent="0.35">
      <c r="A32" s="475" t="s">
        <v>425</v>
      </c>
      <c r="B32" s="476">
        <v>1.5549999999999999</v>
      </c>
      <c r="C32" s="476">
        <v>1.9970000000000001</v>
      </c>
      <c r="D32" s="476">
        <v>2.4609999999999999</v>
      </c>
      <c r="E32" s="476">
        <v>3.0609999999999999</v>
      </c>
      <c r="F32" s="476">
        <v>3.8260000000000001</v>
      </c>
      <c r="G32" s="476">
        <v>5.0819999999999999</v>
      </c>
      <c r="H32" s="476">
        <v>6.0019999999999998</v>
      </c>
      <c r="I32" s="476">
        <v>7.2249999999999996</v>
      </c>
      <c r="J32" s="476">
        <v>8.5220000000000002</v>
      </c>
      <c r="K32" s="476">
        <v>9.8819999999999997</v>
      </c>
      <c r="L32" s="477">
        <v>12.063000000000001</v>
      </c>
      <c r="M32" s="476">
        <v>19</v>
      </c>
      <c r="N32" s="478">
        <v>31</v>
      </c>
      <c r="Q32" s="492" t="s">
        <v>424</v>
      </c>
      <c r="R32" s="493">
        <f t="shared" si="5"/>
        <v>4.8546499975504051E-3</v>
      </c>
      <c r="S32" s="493">
        <f t="shared" si="6"/>
        <v>6.4569848922828525E-3</v>
      </c>
      <c r="T32" s="493">
        <f t="shared" si="6"/>
        <v>8.8911848838822815E-3</v>
      </c>
      <c r="U32" s="494">
        <f t="shared" si="6"/>
        <v>1.1501329100207545E-2</v>
      </c>
      <c r="V32" s="493">
        <f t="shared" si="6"/>
        <v>1.6107823800131493E-2</v>
      </c>
      <c r="W32" s="493">
        <f t="shared" si="6"/>
        <v>2.5130548302872063E-2</v>
      </c>
    </row>
    <row r="33" spans="1:30" x14ac:dyDescent="0.35">
      <c r="A33" s="475" t="s">
        <v>426</v>
      </c>
      <c r="B33" s="476">
        <v>1.95</v>
      </c>
      <c r="C33" s="476">
        <v>1.9690000000000001</v>
      </c>
      <c r="D33" s="476">
        <v>1.9410000000000001</v>
      </c>
      <c r="E33" s="476">
        <v>1.861</v>
      </c>
      <c r="F33" s="476">
        <v>1.75</v>
      </c>
      <c r="G33" s="476">
        <v>1.603</v>
      </c>
      <c r="H33" s="476">
        <v>1.397</v>
      </c>
      <c r="I33" s="476">
        <v>1.2030000000000001</v>
      </c>
      <c r="J33" s="476">
        <v>1.042</v>
      </c>
      <c r="K33" s="476">
        <v>0.88100000000000001</v>
      </c>
      <c r="L33" s="477">
        <v>0.79200000000000004</v>
      </c>
      <c r="M33" s="476">
        <v>1</v>
      </c>
      <c r="N33" s="478">
        <v>1</v>
      </c>
      <c r="Q33" s="492" t="s">
        <v>425</v>
      </c>
      <c r="R33" s="493">
        <f t="shared" si="5"/>
        <v>2.475289077791226E-3</v>
      </c>
      <c r="S33" s="493">
        <f t="shared" si="6"/>
        <v>2.8774996209817742E-3</v>
      </c>
      <c r="T33" s="493">
        <f t="shared" si="6"/>
        <v>3.3042265812690272E-3</v>
      </c>
      <c r="U33" s="494">
        <f t="shared" si="6"/>
        <v>3.9670755421554807E-3</v>
      </c>
      <c r="V33" s="493">
        <f t="shared" si="6"/>
        <v>6.2458908612754768E-3</v>
      </c>
      <c r="W33" s="493">
        <f t="shared" si="6"/>
        <v>1.0117493472584857E-2</v>
      </c>
    </row>
    <row r="34" spans="1:30" x14ac:dyDescent="0.35">
      <c r="A34" s="475" t="s">
        <v>427</v>
      </c>
      <c r="B34" s="476">
        <v>1.6719999999999999</v>
      </c>
      <c r="C34" s="476">
        <v>1.54</v>
      </c>
      <c r="D34" s="476">
        <v>1.383</v>
      </c>
      <c r="E34" s="476">
        <v>1.2549999999999999</v>
      </c>
      <c r="F34" s="476">
        <v>1.147</v>
      </c>
      <c r="G34" s="476">
        <v>1.0580000000000001</v>
      </c>
      <c r="H34" s="476">
        <v>0.98599999999999999</v>
      </c>
      <c r="I34" s="476">
        <v>0.89600000000000002</v>
      </c>
      <c r="J34" s="476">
        <v>0.80700000000000005</v>
      </c>
      <c r="K34" s="476">
        <v>0.75</v>
      </c>
      <c r="L34" s="477">
        <v>0.78400000000000003</v>
      </c>
      <c r="M34" s="476">
        <v>1</v>
      </c>
      <c r="N34" s="478">
        <v>1</v>
      </c>
      <c r="Q34" s="492" t="s">
        <v>426</v>
      </c>
      <c r="R34" s="493">
        <f t="shared" si="5"/>
        <v>4.1214847897340422E-4</v>
      </c>
      <c r="S34" s="493">
        <f t="shared" si="6"/>
        <v>3.5183696374829955E-4</v>
      </c>
      <c r="T34" s="493">
        <f t="shared" si="6"/>
        <v>2.9457838677373135E-4</v>
      </c>
      <c r="U34" s="494">
        <f t="shared" si="6"/>
        <v>2.6045957302388631E-4</v>
      </c>
      <c r="V34" s="493">
        <f t="shared" si="6"/>
        <v>3.2873109796186721E-4</v>
      </c>
      <c r="W34" s="493">
        <f t="shared" si="6"/>
        <v>3.2637075718015666E-4</v>
      </c>
    </row>
    <row r="35" spans="1:30" x14ac:dyDescent="0.35">
      <c r="A35" s="475" t="s">
        <v>428</v>
      </c>
      <c r="B35" s="476">
        <v>8.2000000000000003E-2</v>
      </c>
      <c r="C35" s="476">
        <v>8.5000000000000006E-2</v>
      </c>
      <c r="D35" s="476">
        <v>8.6999999999999994E-2</v>
      </c>
      <c r="E35" s="476">
        <v>9.0999999999999998E-2</v>
      </c>
      <c r="F35" s="476">
        <v>9.0999999999999998E-2</v>
      </c>
      <c r="G35" s="476">
        <v>0.10100000000000001</v>
      </c>
      <c r="H35" s="476">
        <v>0.10100000000000001</v>
      </c>
      <c r="I35" s="476">
        <v>0.10299999999999999</v>
      </c>
      <c r="J35" s="476">
        <v>0.10100000000000001</v>
      </c>
      <c r="K35" s="476">
        <v>0.106</v>
      </c>
      <c r="L35" s="477">
        <v>0.106</v>
      </c>
      <c r="M35" s="476">
        <v>0</v>
      </c>
      <c r="N35" s="478">
        <v>0</v>
      </c>
      <c r="Q35" s="492" t="s">
        <v>427</v>
      </c>
      <c r="R35" s="493">
        <f t="shared" si="5"/>
        <v>3.0697010570255207E-4</v>
      </c>
      <c r="S35" s="493">
        <f t="shared" si="6"/>
        <v>2.724879364154297E-4</v>
      </c>
      <c r="T35" s="493">
        <f t="shared" si="6"/>
        <v>2.5077615219103123E-4</v>
      </c>
      <c r="U35" s="494">
        <f t="shared" si="6"/>
        <v>2.5782866824586726E-4</v>
      </c>
      <c r="V35" s="493">
        <f t="shared" si="6"/>
        <v>3.2873109796186721E-4</v>
      </c>
      <c r="W35" s="493">
        <f t="shared" si="6"/>
        <v>3.2637075718015666E-4</v>
      </c>
    </row>
    <row r="36" spans="1:30" x14ac:dyDescent="0.35">
      <c r="A36" s="475" t="s">
        <v>429</v>
      </c>
      <c r="B36" s="476">
        <v>6.0999999999999999E-2</v>
      </c>
      <c r="C36" s="476">
        <v>7.0000000000000007E-2</v>
      </c>
      <c r="D36" s="476">
        <v>5.8999999999999997E-2</v>
      </c>
      <c r="E36" s="476">
        <v>0.06</v>
      </c>
      <c r="F36" s="476">
        <v>5.7000000000000002E-2</v>
      </c>
      <c r="G36" s="476">
        <v>5.0999999999999997E-2</v>
      </c>
      <c r="H36" s="476">
        <v>5.7000000000000002E-2</v>
      </c>
      <c r="I36" s="476">
        <v>5.1999999999999998E-2</v>
      </c>
      <c r="J36" s="476">
        <v>4.9000000000000002E-2</v>
      </c>
      <c r="K36" s="476">
        <v>0.05</v>
      </c>
      <c r="L36" s="477">
        <v>4.8000000000000001E-2</v>
      </c>
      <c r="M36" s="476">
        <v>0</v>
      </c>
      <c r="N36" s="478">
        <v>0</v>
      </c>
      <c r="Q36" s="492" t="s">
        <v>428</v>
      </c>
      <c r="R36" s="493">
        <f t="shared" si="5"/>
        <v>3.5287858133217483E-5</v>
      </c>
      <c r="S36" s="493">
        <f t="shared" si="6"/>
        <v>3.4103198981361087E-5</v>
      </c>
      <c r="T36" s="493">
        <f t="shared" si="6"/>
        <v>3.5443029509665747E-5</v>
      </c>
      <c r="U36" s="494">
        <f t="shared" si="6"/>
        <v>3.4859488308752462E-5</v>
      </c>
      <c r="V36" s="493">
        <f t="shared" si="6"/>
        <v>0</v>
      </c>
      <c r="W36" s="493">
        <f t="shared" si="6"/>
        <v>0</v>
      </c>
    </row>
    <row r="37" spans="1:30" ht="18.600000000000001" thickBot="1" x14ac:dyDescent="0.4">
      <c r="A37" s="495" t="s">
        <v>109</v>
      </c>
      <c r="B37" s="496">
        <f t="shared" ref="B37:I37" si="7">SUM(B29:B36)</f>
        <v>2683.8969999999999</v>
      </c>
      <c r="C37" s="496">
        <f t="shared" si="7"/>
        <v>2684.7130000000002</v>
      </c>
      <c r="D37" s="496">
        <f t="shared" si="7"/>
        <v>2690.9069999999997</v>
      </c>
      <c r="E37" s="496">
        <f t="shared" si="7"/>
        <v>2717.1150000000002</v>
      </c>
      <c r="F37" s="496">
        <f t="shared" si="7"/>
        <v>2759.2359999999999</v>
      </c>
      <c r="G37" s="496">
        <f t="shared" si="7"/>
        <v>2821.36</v>
      </c>
      <c r="H37" s="496">
        <f t="shared" si="7"/>
        <v>2862.7569999999996</v>
      </c>
      <c r="I37" s="496">
        <f t="shared" si="7"/>
        <v>2918.8510000000006</v>
      </c>
      <c r="J37" s="496">
        <f>SUM(J29:J36)</f>
        <v>2961.5989999999997</v>
      </c>
      <c r="K37" s="496">
        <f>SUM(K29:K36)</f>
        <v>2990.7150000000001</v>
      </c>
      <c r="L37" s="497">
        <f>SUM(L29:L36)</f>
        <v>3040.779</v>
      </c>
      <c r="M37" s="496">
        <v>3042</v>
      </c>
      <c r="N37" s="498">
        <v>3064</v>
      </c>
      <c r="Q37" s="492" t="s">
        <v>429</v>
      </c>
      <c r="R37" s="493">
        <f t="shared" si="5"/>
        <v>1.7815229348808826E-5</v>
      </c>
      <c r="S37" s="493">
        <f t="shared" si="6"/>
        <v>1.6545116337492013E-5</v>
      </c>
      <c r="T37" s="493">
        <f t="shared" si="6"/>
        <v>1.6718410146068751E-5</v>
      </c>
      <c r="U37" s="494">
        <f t="shared" si="6"/>
        <v>1.5785428668114323E-5</v>
      </c>
      <c r="V37" s="493">
        <f t="shared" si="6"/>
        <v>0</v>
      </c>
      <c r="W37" s="493">
        <f t="shared" si="6"/>
        <v>0</v>
      </c>
    </row>
    <row r="38" spans="1:30" x14ac:dyDescent="0.35">
      <c r="A38" s="499"/>
      <c r="B38" s="500"/>
      <c r="C38" s="500"/>
      <c r="D38" s="500"/>
      <c r="E38" s="501"/>
      <c r="F38" s="501"/>
      <c r="G38" s="501"/>
      <c r="H38" s="501"/>
      <c r="I38" s="502"/>
      <c r="J38" s="503"/>
      <c r="K38" s="502"/>
      <c r="L38" s="502"/>
      <c r="M38" s="502"/>
      <c r="N38" s="502"/>
      <c r="O38" s="502"/>
      <c r="P38" s="502"/>
      <c r="Q38" s="504" t="s">
        <v>109</v>
      </c>
      <c r="R38" s="493">
        <f t="shared" si="5"/>
        <v>1</v>
      </c>
      <c r="S38" s="493">
        <f t="shared" si="6"/>
        <v>1</v>
      </c>
      <c r="T38" s="493">
        <f t="shared" si="6"/>
        <v>1</v>
      </c>
      <c r="U38" s="494">
        <f t="shared" si="6"/>
        <v>1</v>
      </c>
      <c r="V38" s="493">
        <f t="shared" si="6"/>
        <v>1</v>
      </c>
      <c r="W38" s="493">
        <f t="shared" si="6"/>
        <v>1</v>
      </c>
      <c r="X38" s="502"/>
      <c r="Y38" s="502"/>
      <c r="Z38" s="502"/>
      <c r="AA38" s="502"/>
      <c r="AB38" s="502"/>
      <c r="AC38" s="502"/>
      <c r="AD38" s="502"/>
    </row>
    <row r="39" spans="1:30" x14ac:dyDescent="0.35">
      <c r="A39" s="505"/>
      <c r="B39" s="471"/>
      <c r="C39" s="471"/>
      <c r="D39" s="471"/>
      <c r="E39" s="471"/>
      <c r="F39" s="471"/>
      <c r="G39" s="471"/>
      <c r="H39" s="471"/>
      <c r="I39" s="506"/>
      <c r="J39" s="506"/>
      <c r="K39" s="506"/>
      <c r="L39" s="506"/>
      <c r="M39" s="506"/>
      <c r="N39" s="506"/>
      <c r="O39" s="471"/>
      <c r="P39" s="471"/>
      <c r="Q39" s="471"/>
      <c r="R39" s="471"/>
      <c r="S39" s="471"/>
      <c r="T39" s="471"/>
      <c r="U39" s="471"/>
      <c r="V39" s="471"/>
    </row>
    <row r="40" spans="1:30" x14ac:dyDescent="0.35">
      <c r="A40" s="505"/>
      <c r="B40" s="471"/>
      <c r="C40" s="471"/>
      <c r="D40" s="471"/>
      <c r="E40" s="471"/>
      <c r="F40" s="471"/>
      <c r="G40" s="471"/>
      <c r="H40" s="471"/>
      <c r="I40" s="506"/>
      <c r="J40" s="506"/>
      <c r="K40" s="506"/>
      <c r="L40" s="506"/>
      <c r="M40" s="506"/>
      <c r="N40" s="506"/>
      <c r="O40" s="471"/>
      <c r="P40" s="471"/>
      <c r="Q40" s="471"/>
      <c r="R40" s="471"/>
      <c r="S40" s="471"/>
      <c r="T40" s="471"/>
      <c r="U40" s="471"/>
      <c r="V40" s="471"/>
    </row>
    <row r="41" spans="1:30" x14ac:dyDescent="0.35">
      <c r="A41" s="507" t="s">
        <v>431</v>
      </c>
      <c r="B41" s="471"/>
      <c r="C41" s="471"/>
      <c r="D41" s="471"/>
      <c r="E41" s="471"/>
      <c r="F41" s="471"/>
      <c r="G41" s="471"/>
      <c r="H41" s="471"/>
      <c r="I41" s="506"/>
      <c r="J41" s="506"/>
      <c r="K41" s="506"/>
      <c r="L41" s="506"/>
      <c r="M41" s="506"/>
      <c r="N41" s="506"/>
      <c r="O41" s="471"/>
      <c r="P41" s="471"/>
      <c r="Q41" s="471"/>
      <c r="R41" s="471"/>
      <c r="U41" s="471"/>
      <c r="W41" s="471"/>
    </row>
    <row r="42" spans="1:30" x14ac:dyDescent="0.35">
      <c r="A42" s="508" t="s">
        <v>432</v>
      </c>
      <c r="B42" s="471"/>
      <c r="C42" s="471"/>
      <c r="D42" s="471"/>
      <c r="E42" s="471"/>
      <c r="F42" s="471"/>
      <c r="G42" s="471"/>
      <c r="H42" s="471"/>
      <c r="I42" s="506"/>
      <c r="J42" s="506"/>
      <c r="K42" s="506"/>
      <c r="L42" s="506"/>
      <c r="M42" s="506"/>
      <c r="N42" s="506"/>
      <c r="O42" s="471"/>
      <c r="P42" s="471"/>
      <c r="Q42" s="471"/>
      <c r="R42" s="471"/>
      <c r="S42" s="471"/>
      <c r="T42" s="471"/>
      <c r="U42" s="471"/>
      <c r="V42" s="471"/>
    </row>
    <row r="43" spans="1:30" x14ac:dyDescent="0.35">
      <c r="A43" s="483" t="s">
        <v>433</v>
      </c>
      <c r="B43" s="471"/>
      <c r="C43" s="471"/>
      <c r="D43" s="471"/>
      <c r="E43" s="471"/>
      <c r="F43" s="471"/>
      <c r="G43" s="471"/>
      <c r="H43" s="471"/>
      <c r="I43" s="506"/>
      <c r="J43" s="506"/>
      <c r="K43" s="506"/>
      <c r="L43" s="506"/>
      <c r="M43" s="506"/>
      <c r="N43" s="506"/>
      <c r="O43" s="471"/>
      <c r="P43" s="471"/>
      <c r="Q43" s="471"/>
      <c r="R43" s="471"/>
      <c r="S43" s="471"/>
      <c r="T43" s="471"/>
      <c r="U43" s="471"/>
      <c r="V43" s="471"/>
      <c r="W43" s="471"/>
    </row>
    <row r="44" spans="1:30" x14ac:dyDescent="0.35">
      <c r="A44" s="483" t="s">
        <v>434</v>
      </c>
      <c r="B44" s="471"/>
      <c r="C44" s="471"/>
      <c r="D44" s="471"/>
      <c r="E44" s="471"/>
      <c r="F44" s="471"/>
      <c r="G44" s="471"/>
      <c r="H44" s="471"/>
      <c r="I44" s="506"/>
      <c r="J44" s="506"/>
      <c r="K44" s="506"/>
      <c r="L44" s="506"/>
      <c r="M44" s="506"/>
      <c r="N44" s="506"/>
      <c r="O44" s="471"/>
      <c r="P44" s="471"/>
      <c r="Q44" s="471"/>
      <c r="R44" s="471"/>
      <c r="S44" s="471"/>
      <c r="T44" s="471"/>
      <c r="U44" s="471"/>
      <c r="V44" s="471"/>
      <c r="W44" s="471"/>
    </row>
    <row r="45" spans="1:30" x14ac:dyDescent="0.35">
      <c r="A45" s="509" t="s">
        <v>435</v>
      </c>
      <c r="B45" s="471"/>
      <c r="C45" s="471"/>
      <c r="D45" s="471"/>
      <c r="E45" s="471"/>
      <c r="F45" s="471"/>
      <c r="G45" s="471"/>
      <c r="H45" s="471"/>
      <c r="I45" s="506"/>
      <c r="J45" s="506"/>
      <c r="K45" s="506"/>
      <c r="L45" s="506"/>
      <c r="M45" s="506"/>
      <c r="N45" s="506"/>
      <c r="O45" s="471"/>
      <c r="P45" s="471"/>
      <c r="Q45" s="471"/>
      <c r="R45" s="471"/>
      <c r="S45" s="471"/>
      <c r="T45" s="471"/>
      <c r="U45" s="471"/>
      <c r="V45" s="471"/>
      <c r="W45" s="471"/>
    </row>
  </sheetData>
  <sheetProtection algorithmName="SHA-512" hashValue="lp+7HOjkEE5hbLhd/cBtrgjr0HpTqR0+xrVuF09f9YXBJbi3c7rrSzCQpQLlfZ8fpxVuq+19Zqc3sWiGKeHX4A==" saltValue="7c3zcW0tCdvHxUkinreW5g==" spinCount="100000" sheet="1" objects="1" scenarios="1"/>
  <mergeCells count="5">
    <mergeCell ref="B3:C3"/>
    <mergeCell ref="B2:C2"/>
    <mergeCell ref="D3:M3"/>
    <mergeCell ref="D4:M4"/>
    <mergeCell ref="D5:M5"/>
  </mergeCells>
  <hyperlinks>
    <hyperlink ref="A45" r:id="rId1" xr:uid="{B15BF5B3-768D-4C97-AC15-B35D8F27D410}"/>
    <hyperlink ref="D3" r:id="rId2" xr:uid="{17F4CBD1-D574-44E7-ABE9-7771B42E558E}"/>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400A4-41D1-4D18-9060-CAA98CFED792}">
  <sheetPr>
    <tabColor theme="5" tint="0.59999389629810485"/>
  </sheetPr>
  <dimension ref="B2:AB17"/>
  <sheetViews>
    <sheetView topLeftCell="B1" zoomScale="82" zoomScaleNormal="100" workbookViewId="0">
      <selection activeCell="P19" sqref="P19"/>
    </sheetView>
  </sheetViews>
  <sheetFormatPr defaultRowHeight="18" x14ac:dyDescent="0.35"/>
  <cols>
    <col min="1" max="11" width="8.88671875" style="19"/>
    <col min="12" max="12" width="34.109375" style="19" customWidth="1"/>
    <col min="13" max="13" width="8.88671875" style="19"/>
    <col min="14" max="14" width="35.21875" style="19" bestFit="1" customWidth="1"/>
    <col min="15" max="17" width="8.88671875" style="19"/>
    <col min="18" max="18" width="26" style="19" customWidth="1"/>
    <col min="19" max="27" width="8.88671875" style="19"/>
    <col min="28" max="28" width="23.33203125" style="19" customWidth="1"/>
    <col min="29" max="16384" width="8.88671875" style="19"/>
  </cols>
  <sheetData>
    <row r="2" spans="2:28" x14ac:dyDescent="0.35">
      <c r="B2" s="642" t="s">
        <v>57</v>
      </c>
      <c r="C2" s="721"/>
      <c r="D2" s="722" t="s">
        <v>278</v>
      </c>
      <c r="E2" s="723"/>
      <c r="F2" s="723"/>
      <c r="G2" s="723"/>
      <c r="H2" s="723"/>
      <c r="I2" s="723"/>
      <c r="J2" s="723"/>
      <c r="K2" s="723"/>
      <c r="L2" s="723"/>
      <c r="M2" s="723"/>
      <c r="N2" s="723"/>
      <c r="P2" s="642" t="s">
        <v>57</v>
      </c>
      <c r="Q2" s="721"/>
      <c r="R2" s="722" t="s">
        <v>516</v>
      </c>
      <c r="S2" s="723"/>
      <c r="T2" s="723"/>
      <c r="U2" s="723"/>
      <c r="V2" s="723"/>
      <c r="W2" s="723"/>
      <c r="X2" s="723"/>
      <c r="Y2" s="723"/>
      <c r="Z2" s="723"/>
      <c r="AA2" s="723"/>
      <c r="AB2" s="723"/>
    </row>
    <row r="3" spans="2:28" x14ac:dyDescent="0.35">
      <c r="B3" s="642" t="s">
        <v>59</v>
      </c>
      <c r="C3" s="721"/>
      <c r="D3" s="682" t="s">
        <v>279</v>
      </c>
      <c r="E3" s="683"/>
      <c r="F3" s="683"/>
      <c r="G3" s="683"/>
      <c r="H3" s="683"/>
      <c r="I3" s="683"/>
      <c r="J3" s="683"/>
      <c r="K3" s="683"/>
      <c r="L3" s="683"/>
      <c r="M3" s="683"/>
      <c r="N3" s="683"/>
      <c r="P3" s="642" t="s">
        <v>59</v>
      </c>
      <c r="Q3" s="721"/>
      <c r="R3" s="682" t="s">
        <v>517</v>
      </c>
      <c r="S3" s="683"/>
      <c r="T3" s="683"/>
      <c r="U3" s="683"/>
      <c r="V3" s="683"/>
      <c r="W3" s="683"/>
      <c r="X3" s="683"/>
      <c r="Y3" s="683"/>
      <c r="Z3" s="683"/>
      <c r="AA3" s="683"/>
      <c r="AB3" s="683"/>
    </row>
    <row r="4" spans="2:28" x14ac:dyDescent="0.35">
      <c r="B4" s="597" t="s">
        <v>60</v>
      </c>
      <c r="C4" s="598"/>
      <c r="D4" s="722">
        <v>2023</v>
      </c>
      <c r="E4" s="723"/>
      <c r="F4" s="723"/>
      <c r="G4" s="723"/>
      <c r="H4" s="723"/>
      <c r="I4" s="723"/>
      <c r="J4" s="723"/>
      <c r="K4" s="723"/>
      <c r="L4" s="723"/>
      <c r="M4" s="723"/>
      <c r="N4" s="723"/>
      <c r="P4" s="597" t="s">
        <v>60</v>
      </c>
      <c r="Q4" s="598"/>
      <c r="R4" s="722">
        <v>2021</v>
      </c>
      <c r="S4" s="723"/>
      <c r="T4" s="723"/>
      <c r="U4" s="723"/>
      <c r="V4" s="723"/>
      <c r="W4" s="723"/>
      <c r="X4" s="723"/>
      <c r="Y4" s="723"/>
      <c r="Z4" s="723"/>
      <c r="AA4" s="723"/>
      <c r="AB4" s="723"/>
    </row>
    <row r="5" spans="2:28" ht="56.4" customHeight="1" x14ac:dyDescent="0.35">
      <c r="B5" s="597" t="s">
        <v>62</v>
      </c>
      <c r="C5" s="598"/>
      <c r="D5" s="722" t="s">
        <v>280</v>
      </c>
      <c r="E5" s="723"/>
      <c r="F5" s="723"/>
      <c r="G5" s="723"/>
      <c r="H5" s="723"/>
      <c r="I5" s="723"/>
      <c r="J5" s="723"/>
      <c r="K5" s="723"/>
      <c r="L5" s="723"/>
      <c r="M5" s="723"/>
      <c r="N5" s="723"/>
      <c r="P5" s="597" t="s">
        <v>62</v>
      </c>
      <c r="Q5" s="598"/>
      <c r="R5" s="729" t="s">
        <v>593</v>
      </c>
      <c r="S5" s="730"/>
      <c r="T5" s="730"/>
      <c r="U5" s="730"/>
      <c r="V5" s="730"/>
      <c r="W5" s="730"/>
      <c r="X5" s="730"/>
      <c r="Y5" s="730"/>
      <c r="Z5" s="730"/>
      <c r="AA5" s="730"/>
      <c r="AB5" s="730"/>
    </row>
    <row r="10" spans="2:28" ht="18.600000000000001" thickBot="1" x14ac:dyDescent="0.4">
      <c r="C10" s="510" t="s">
        <v>281</v>
      </c>
    </row>
    <row r="11" spans="2:28" x14ac:dyDescent="0.35">
      <c r="C11" s="511" t="s">
        <v>282</v>
      </c>
      <c r="D11" s="512" t="s">
        <v>283</v>
      </c>
      <c r="E11" s="512" t="s">
        <v>283</v>
      </c>
      <c r="F11" s="512" t="s">
        <v>283</v>
      </c>
      <c r="G11" s="512" t="s">
        <v>283</v>
      </c>
      <c r="H11" s="512" t="s">
        <v>283</v>
      </c>
      <c r="I11" s="512" t="s">
        <v>283</v>
      </c>
      <c r="J11" s="512" t="s">
        <v>283</v>
      </c>
      <c r="K11" s="513" t="s">
        <v>283</v>
      </c>
      <c r="L11" s="727" t="s">
        <v>516</v>
      </c>
    </row>
    <row r="12" spans="2:28" ht="18.600000000000001" thickBot="1" x14ac:dyDescent="0.4">
      <c r="C12" s="514"/>
      <c r="D12" s="515" t="s">
        <v>284</v>
      </c>
      <c r="E12" s="515" t="s">
        <v>285</v>
      </c>
      <c r="F12" s="515" t="s">
        <v>286</v>
      </c>
      <c r="G12" s="515" t="s">
        <v>287</v>
      </c>
      <c r="H12" s="515" t="s">
        <v>288</v>
      </c>
      <c r="I12" s="515" t="s">
        <v>289</v>
      </c>
      <c r="J12" s="515" t="s">
        <v>290</v>
      </c>
      <c r="K12" s="516" t="s">
        <v>291</v>
      </c>
      <c r="L12" s="728"/>
    </row>
    <row r="13" spans="2:28" ht="18.600000000000001" thickBot="1" x14ac:dyDescent="0.4">
      <c r="C13" s="517" t="s">
        <v>292</v>
      </c>
      <c r="D13" s="518">
        <v>4.4918567677903497E-2</v>
      </c>
      <c r="E13" s="518" t="s">
        <v>293</v>
      </c>
      <c r="F13" s="519" t="s">
        <v>293</v>
      </c>
      <c r="G13" s="518">
        <v>2.4305439467381298</v>
      </c>
      <c r="H13" s="518">
        <v>9.5219534694801003E-2</v>
      </c>
      <c r="I13" s="518">
        <v>1.7400508157935601E-2</v>
      </c>
      <c r="J13" s="518">
        <v>4.21476311776305E-3</v>
      </c>
      <c r="K13" s="520">
        <v>5.3418158963783402E-3</v>
      </c>
      <c r="L13" s="521">
        <f>J13*273</f>
        <v>1.1506303311493127</v>
      </c>
    </row>
    <row r="14" spans="2:28" ht="18.600000000000001" thickBot="1" x14ac:dyDescent="0.4">
      <c r="C14" s="522" t="s">
        <v>294</v>
      </c>
      <c r="D14" s="523">
        <v>0.32514717734536103</v>
      </c>
      <c r="E14" s="523">
        <v>2.2297389086417398E-2</v>
      </c>
      <c r="F14" s="523">
        <v>2.2297389086417398E-2</v>
      </c>
      <c r="G14" s="523">
        <v>7.3312936452734206E-2</v>
      </c>
      <c r="H14" s="523">
        <v>1.1833020749121299E-2</v>
      </c>
      <c r="I14" s="523">
        <v>4.4500910956673297E-3</v>
      </c>
      <c r="J14" s="523">
        <v>1.3772851392409901E-2</v>
      </c>
      <c r="K14" s="524">
        <v>2.3429381083260199E-4</v>
      </c>
      <c r="L14" s="521">
        <f>J14*273</f>
        <v>3.759988430127903</v>
      </c>
    </row>
    <row r="15" spans="2:28" ht="18.600000000000001" thickBot="1" x14ac:dyDescent="0.4">
      <c r="C15" s="522" t="s">
        <v>295</v>
      </c>
      <c r="D15" s="523">
        <v>8.7654583244116499E-2</v>
      </c>
      <c r="E15" s="523" t="s">
        <v>293</v>
      </c>
      <c r="F15" s="519" t="s">
        <v>293</v>
      </c>
      <c r="G15" s="523">
        <v>4.6627126871964997</v>
      </c>
      <c r="H15" s="523">
        <v>0.146615620614341</v>
      </c>
      <c r="I15" s="523">
        <v>1.35113886649784E-2</v>
      </c>
      <c r="J15" s="523">
        <v>7.3158830315208498E-3</v>
      </c>
      <c r="K15" s="524">
        <v>8.2251363164645395E-3</v>
      </c>
      <c r="L15" s="521">
        <f>J15*273</f>
        <v>1.9972360676051919</v>
      </c>
    </row>
    <row r="16" spans="2:28" ht="18.600000000000001" thickBot="1" x14ac:dyDescent="0.4">
      <c r="C16" s="525" t="s">
        <v>296</v>
      </c>
      <c r="D16" s="526">
        <v>0.46221779128928497</v>
      </c>
      <c r="E16" s="526">
        <v>1.07060362465572E-2</v>
      </c>
      <c r="F16" s="526">
        <v>1.07060362465572E-2</v>
      </c>
      <c r="G16" s="526">
        <v>8.31504787762396E-2</v>
      </c>
      <c r="H16" s="526">
        <v>1.71434733277235E-2</v>
      </c>
      <c r="I16" s="526">
        <v>4.8981159997791898E-3</v>
      </c>
      <c r="J16" s="526">
        <v>1.14587472613812E-2</v>
      </c>
      <c r="K16" s="527">
        <v>3.39440771888925E-4</v>
      </c>
      <c r="L16" s="521">
        <f>J16*273</f>
        <v>3.1282380023570675</v>
      </c>
    </row>
    <row r="17" spans="3:3" x14ac:dyDescent="0.35">
      <c r="C17" s="528" t="s">
        <v>297</v>
      </c>
    </row>
  </sheetData>
  <sheetProtection algorithmName="SHA-512" hashValue="miqCO35+bWqlUF5vF4NmT7Nppl/xguesXwqlLiyyanjMOB33jnjlnhoosxMdZPsrUq3WRVoFxoNocWlTJ9fzIQ==" saltValue="g3ycTGJPHoatHZzgE1hHQA==" spinCount="100000" sheet="1" objects="1" scenarios="1"/>
  <mergeCells count="17">
    <mergeCell ref="L11:L12"/>
    <mergeCell ref="P2:Q2"/>
    <mergeCell ref="R2:AB2"/>
    <mergeCell ref="P3:Q3"/>
    <mergeCell ref="R3:AB3"/>
    <mergeCell ref="P4:Q4"/>
    <mergeCell ref="R4:AB4"/>
    <mergeCell ref="P5:Q5"/>
    <mergeCell ref="R5:AB5"/>
    <mergeCell ref="B5:C5"/>
    <mergeCell ref="D5:N5"/>
    <mergeCell ref="B2:C2"/>
    <mergeCell ref="D2:N2"/>
    <mergeCell ref="B3:C3"/>
    <mergeCell ref="D3:N3"/>
    <mergeCell ref="B4:C4"/>
    <mergeCell ref="D4:N4"/>
  </mergeCells>
  <hyperlinks>
    <hyperlink ref="D3:N3" r:id="rId1" display="National Atmospheric Emmissions Inventory- Emissions Factors for Transport" xr:uid="{A0B8FF7A-B889-4BB8-8D62-308A2BF9049F}"/>
    <hyperlink ref="R3:AB3" r:id="rId2" display="National Atmospheric Emmissions Inventory- Emissions Factors for Transport" xr:uid="{A6A2D057-CEA6-49FF-8056-3C29B5B026AB}"/>
  </hyperlinks>
  <pageMargins left="0.7" right="0.7" top="0.75" bottom="0.75" header="0.3" footer="0.3"/>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723EF-8E4E-41CE-803E-DF2A70DCB426}">
  <dimension ref="C3:C14"/>
  <sheetViews>
    <sheetView workbookViewId="0">
      <selection activeCell="C5" sqref="C5:C14"/>
    </sheetView>
  </sheetViews>
  <sheetFormatPr defaultRowHeight="14.4" x14ac:dyDescent="0.3"/>
  <sheetData>
    <row r="3" spans="3:3" x14ac:dyDescent="0.3">
      <c r="C3" t="s">
        <v>298</v>
      </c>
    </row>
    <row r="4" spans="3:3" x14ac:dyDescent="0.3">
      <c r="C4" s="2">
        <v>0.05</v>
      </c>
    </row>
    <row r="5" spans="3:3" x14ac:dyDescent="0.3">
      <c r="C5" s="2">
        <v>0.1</v>
      </c>
    </row>
    <row r="6" spans="3:3" x14ac:dyDescent="0.3">
      <c r="C6" s="2">
        <v>0.2</v>
      </c>
    </row>
    <row r="7" spans="3:3" x14ac:dyDescent="0.3">
      <c r="C7" s="2">
        <v>0.3</v>
      </c>
    </row>
    <row r="8" spans="3:3" x14ac:dyDescent="0.3">
      <c r="C8" s="2">
        <v>0.4</v>
      </c>
    </row>
    <row r="9" spans="3:3" x14ac:dyDescent="0.3">
      <c r="C9" s="2">
        <v>0.5</v>
      </c>
    </row>
    <row r="10" spans="3:3" x14ac:dyDescent="0.3">
      <c r="C10" s="2">
        <v>0.6</v>
      </c>
    </row>
    <row r="11" spans="3:3" x14ac:dyDescent="0.3">
      <c r="C11" s="2">
        <v>0.7</v>
      </c>
    </row>
    <row r="12" spans="3:3" x14ac:dyDescent="0.3">
      <c r="C12" s="2">
        <v>0.8</v>
      </c>
    </row>
    <row r="13" spans="3:3" x14ac:dyDescent="0.3">
      <c r="C13" s="2">
        <v>0.9</v>
      </c>
    </row>
    <row r="14" spans="3:3" x14ac:dyDescent="0.3">
      <c r="C14" s="2">
        <v>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22DE5-46C3-472B-A403-70875FAEA6E9}">
  <sheetPr>
    <tabColor theme="5" tint="0.59999389629810485"/>
  </sheetPr>
  <dimension ref="A2:AZ365"/>
  <sheetViews>
    <sheetView topLeftCell="C123" zoomScaleNormal="100" workbookViewId="0">
      <selection activeCell="N4" sqref="N4"/>
    </sheetView>
  </sheetViews>
  <sheetFormatPr defaultRowHeight="18" x14ac:dyDescent="0.35"/>
  <cols>
    <col min="1" max="1" width="11.33203125" style="19" customWidth="1"/>
    <col min="2" max="2" width="10.21875" style="19" customWidth="1"/>
    <col min="3" max="3" width="11.77734375" style="19" customWidth="1"/>
    <col min="4" max="14" width="11.88671875" style="19" bestFit="1" customWidth="1"/>
    <col min="15" max="15" width="10.21875" style="19" customWidth="1"/>
    <col min="16" max="21" width="11.88671875" style="19" bestFit="1" customWidth="1"/>
    <col min="22" max="24" width="11" style="19" bestFit="1" customWidth="1"/>
    <col min="25" max="52" width="9.5546875" style="19" customWidth="1"/>
    <col min="53" max="16384" width="8.88671875" style="19"/>
  </cols>
  <sheetData>
    <row r="2" spans="1:52" x14ac:dyDescent="0.35">
      <c r="B2" s="642" t="s">
        <v>57</v>
      </c>
      <c r="C2" s="721"/>
      <c r="D2" s="670" t="s">
        <v>337</v>
      </c>
      <c r="E2" s="671"/>
      <c r="F2" s="671"/>
      <c r="G2" s="671"/>
      <c r="H2" s="671"/>
      <c r="I2" s="671"/>
      <c r="J2" s="671"/>
      <c r="K2" s="671"/>
      <c r="L2" s="671"/>
      <c r="M2" s="672"/>
    </row>
    <row r="3" spans="1:52" x14ac:dyDescent="0.35">
      <c r="B3" s="628" t="s">
        <v>59</v>
      </c>
      <c r="C3" s="629"/>
      <c r="D3" s="670" t="s">
        <v>338</v>
      </c>
      <c r="E3" s="671"/>
      <c r="F3" s="671"/>
      <c r="G3" s="671"/>
      <c r="H3" s="671"/>
      <c r="I3" s="671"/>
      <c r="J3" s="671"/>
      <c r="K3" s="671"/>
      <c r="L3" s="671"/>
      <c r="M3" s="672"/>
    </row>
    <row r="4" spans="1:52" ht="77.400000000000006" customHeight="1" x14ac:dyDescent="0.35">
      <c r="B4" s="630"/>
      <c r="C4" s="631"/>
      <c r="D4" s="734" t="s">
        <v>339</v>
      </c>
      <c r="E4" s="735"/>
      <c r="F4" s="735"/>
      <c r="G4" s="735"/>
      <c r="H4" s="735"/>
      <c r="I4" s="735"/>
      <c r="J4" s="735"/>
      <c r="K4" s="735"/>
      <c r="L4" s="735"/>
      <c r="M4" s="736"/>
    </row>
    <row r="5" spans="1:52" ht="39" customHeight="1" x14ac:dyDescent="0.35">
      <c r="B5" s="632"/>
      <c r="C5" s="633"/>
      <c r="D5" s="731" t="s">
        <v>492</v>
      </c>
      <c r="E5" s="732"/>
      <c r="F5" s="732"/>
      <c r="G5" s="732"/>
      <c r="H5" s="732"/>
      <c r="I5" s="732"/>
      <c r="J5" s="732"/>
      <c r="K5" s="732"/>
      <c r="L5" s="732"/>
      <c r="M5" s="733"/>
    </row>
    <row r="6" spans="1:52" x14ac:dyDescent="0.35">
      <c r="B6" s="461" t="s">
        <v>60</v>
      </c>
      <c r="C6" s="461"/>
      <c r="D6" s="599" t="s">
        <v>493</v>
      </c>
      <c r="E6" s="600"/>
      <c r="F6" s="600"/>
      <c r="G6" s="600"/>
      <c r="H6" s="600"/>
      <c r="I6" s="600"/>
      <c r="J6" s="600"/>
      <c r="K6" s="600"/>
      <c r="L6" s="600"/>
      <c r="M6" s="601"/>
    </row>
    <row r="7" spans="1:52" x14ac:dyDescent="0.35">
      <c r="B7" s="462" t="s">
        <v>62</v>
      </c>
      <c r="C7" s="463"/>
      <c r="D7" s="599"/>
      <c r="E7" s="600"/>
      <c r="F7" s="600"/>
      <c r="G7" s="600"/>
      <c r="H7" s="600"/>
      <c r="I7" s="600"/>
      <c r="J7" s="600"/>
      <c r="K7" s="600"/>
      <c r="L7" s="600"/>
      <c r="M7" s="601"/>
    </row>
    <row r="10" spans="1:52" s="18" customFormat="1" x14ac:dyDescent="0.35">
      <c r="A10" s="248" t="s">
        <v>494</v>
      </c>
    </row>
    <row r="11" spans="1:52" s="18" customFormat="1" x14ac:dyDescent="0.35"/>
    <row r="12" spans="1:52" s="529" customFormat="1" x14ac:dyDescent="0.35">
      <c r="A12" s="529" t="s">
        <v>264</v>
      </c>
      <c r="B12" s="529">
        <v>2000</v>
      </c>
      <c r="C12" s="529">
        <v>2001</v>
      </c>
      <c r="D12" s="529">
        <v>2002</v>
      </c>
      <c r="E12" s="529">
        <v>2003</v>
      </c>
      <c r="F12" s="529">
        <v>2004</v>
      </c>
      <c r="G12" s="529">
        <v>2005</v>
      </c>
      <c r="H12" s="529">
        <v>2006</v>
      </c>
      <c r="I12" s="529">
        <v>2007</v>
      </c>
      <c r="J12" s="529">
        <v>2008</v>
      </c>
      <c r="K12" s="529">
        <v>2009</v>
      </c>
      <c r="L12" s="529">
        <v>2010</v>
      </c>
      <c r="M12" s="529">
        <v>2011</v>
      </c>
      <c r="N12" s="529">
        <v>2012</v>
      </c>
      <c r="O12" s="529">
        <v>2013</v>
      </c>
      <c r="P12" s="529">
        <v>2014</v>
      </c>
      <c r="Q12" s="529">
        <v>2015</v>
      </c>
      <c r="R12" s="529">
        <v>2016</v>
      </c>
      <c r="S12" s="529">
        <v>2017</v>
      </c>
      <c r="T12" s="529">
        <v>2018</v>
      </c>
      <c r="U12" s="530">
        <v>2019</v>
      </c>
      <c r="V12" s="529">
        <v>2020</v>
      </c>
      <c r="W12" s="529">
        <v>2021</v>
      </c>
      <c r="X12" s="529">
        <v>2022</v>
      </c>
      <c r="Y12" s="531">
        <v>2023</v>
      </c>
      <c r="Z12" s="529">
        <v>2024</v>
      </c>
      <c r="AA12" s="529">
        <v>2025</v>
      </c>
      <c r="AB12" s="529">
        <v>2026</v>
      </c>
      <c r="AC12" s="529">
        <v>2027</v>
      </c>
      <c r="AD12" s="529">
        <v>2028</v>
      </c>
      <c r="AE12" s="529">
        <v>2029</v>
      </c>
      <c r="AF12" s="529">
        <v>2030</v>
      </c>
      <c r="AG12" s="529">
        <v>2031</v>
      </c>
      <c r="AH12" s="529">
        <v>2032</v>
      </c>
      <c r="AI12" s="529">
        <v>2033</v>
      </c>
      <c r="AJ12" s="529">
        <v>2034</v>
      </c>
      <c r="AK12" s="529">
        <v>2035</v>
      </c>
      <c r="AL12" s="529">
        <v>2036</v>
      </c>
      <c r="AM12" s="529">
        <v>2037</v>
      </c>
      <c r="AN12" s="529">
        <v>2038</v>
      </c>
      <c r="AO12" s="529">
        <v>2039</v>
      </c>
      <c r="AP12" s="529">
        <v>2040</v>
      </c>
      <c r="AQ12" s="529">
        <v>2041</v>
      </c>
      <c r="AR12" s="529">
        <v>2042</v>
      </c>
      <c r="AS12" s="529">
        <v>2043</v>
      </c>
      <c r="AT12" s="529">
        <v>2044</v>
      </c>
      <c r="AU12" s="529">
        <v>2045</v>
      </c>
      <c r="AV12" s="529">
        <v>2046</v>
      </c>
      <c r="AW12" s="529">
        <v>2047</v>
      </c>
      <c r="AX12" s="529">
        <v>2048</v>
      </c>
      <c r="AY12" s="529">
        <v>2049</v>
      </c>
      <c r="AZ12" s="529">
        <v>2050</v>
      </c>
    </row>
    <row r="13" spans="1:52" s="531" customFormat="1" ht="29.55" customHeight="1" x14ac:dyDescent="0.35">
      <c r="A13" s="532" t="s">
        <v>340</v>
      </c>
      <c r="B13" s="529">
        <f>C134</f>
        <v>5062940</v>
      </c>
      <c r="C13" s="529">
        <f>C135</f>
        <v>5064200</v>
      </c>
      <c r="D13" s="529">
        <f>C136</f>
        <v>5066000</v>
      </c>
      <c r="E13" s="529">
        <f>C137</f>
        <v>5068500</v>
      </c>
      <c r="F13" s="529">
        <f>C138</f>
        <v>5084300</v>
      </c>
      <c r="G13" s="529">
        <f>C139</f>
        <v>5110200</v>
      </c>
      <c r="H13" s="529">
        <f>C140</f>
        <v>5133000</v>
      </c>
      <c r="I13" s="529">
        <f>C141</f>
        <v>5170000</v>
      </c>
      <c r="J13" s="529">
        <f>C142</f>
        <v>5202900</v>
      </c>
      <c r="K13" s="529">
        <f>C143</f>
        <v>5231900</v>
      </c>
      <c r="L13" s="529">
        <f>C144</f>
        <v>5262200</v>
      </c>
      <c r="M13" s="529">
        <f>C145</f>
        <v>5299900</v>
      </c>
      <c r="N13" s="529">
        <f>C146</f>
        <v>5313600</v>
      </c>
      <c r="O13" s="529">
        <f>C147</f>
        <v>5327700</v>
      </c>
      <c r="P13" s="529">
        <f>C148</f>
        <v>5347600</v>
      </c>
      <c r="Q13" s="529">
        <f>C149</f>
        <v>5373000</v>
      </c>
      <c r="R13" s="529">
        <f>C150</f>
        <v>5404700</v>
      </c>
      <c r="S13" s="529">
        <f>C151</f>
        <v>5424800</v>
      </c>
      <c r="T13" s="529">
        <f>C152</f>
        <v>5438100</v>
      </c>
      <c r="U13" s="530">
        <f>C153</f>
        <v>5463300</v>
      </c>
      <c r="V13" s="529">
        <f t="shared" ref="V13:W13" si="0">B28*1000</f>
        <v>5466000</v>
      </c>
      <c r="W13" s="529">
        <f t="shared" si="0"/>
        <v>5467877</v>
      </c>
      <c r="X13" s="529">
        <f>D28*1000</f>
        <v>5482402</v>
      </c>
      <c r="Y13" s="531">
        <f>E28*1000</f>
        <v>5489769</v>
      </c>
      <c r="Z13" s="529">
        <f>F28*1000</f>
        <v>5496877</v>
      </c>
      <c r="AA13" s="529">
        <f t="shared" ref="AA13:AZ13" si="1">G28*1000</f>
        <v>5503484</v>
      </c>
      <c r="AB13" s="529">
        <f t="shared" si="1"/>
        <v>5509360</v>
      </c>
      <c r="AC13" s="529">
        <f t="shared" si="1"/>
        <v>5514526</v>
      </c>
      <c r="AD13" s="529">
        <f t="shared" si="1"/>
        <v>5518937</v>
      </c>
      <c r="AE13" s="529">
        <f t="shared" si="1"/>
        <v>5522526</v>
      </c>
      <c r="AF13" s="529">
        <f t="shared" si="1"/>
        <v>5525221</v>
      </c>
      <c r="AG13" s="529">
        <f t="shared" si="1"/>
        <v>5527133</v>
      </c>
      <c r="AH13" s="529">
        <f t="shared" si="1"/>
        <v>5528207</v>
      </c>
      <c r="AI13" s="529">
        <f t="shared" si="1"/>
        <v>5528447</v>
      </c>
      <c r="AJ13" s="529">
        <f t="shared" si="1"/>
        <v>5527868</v>
      </c>
      <c r="AK13" s="529">
        <f t="shared" si="1"/>
        <v>5526606</v>
      </c>
      <c r="AL13" s="529">
        <f t="shared" si="1"/>
        <v>5524773</v>
      </c>
      <c r="AM13" s="529">
        <f t="shared" si="1"/>
        <v>5522508</v>
      </c>
      <c r="AN13" s="529">
        <f t="shared" si="1"/>
        <v>5519943</v>
      </c>
      <c r="AO13" s="529">
        <f t="shared" si="1"/>
        <v>5517081</v>
      </c>
      <c r="AP13" s="529">
        <f t="shared" si="1"/>
        <v>5513969</v>
      </c>
      <c r="AQ13" s="529">
        <f t="shared" si="1"/>
        <v>5510584</v>
      </c>
      <c r="AR13" s="529">
        <f t="shared" si="1"/>
        <v>5506932</v>
      </c>
      <c r="AS13" s="529">
        <f t="shared" si="1"/>
        <v>5503019</v>
      </c>
      <c r="AT13" s="529">
        <f>Z28*1000</f>
        <v>5498874</v>
      </c>
      <c r="AU13" s="529">
        <f t="shared" si="1"/>
        <v>5494411</v>
      </c>
      <c r="AV13" s="529">
        <f t="shared" si="1"/>
        <v>5489501</v>
      </c>
      <c r="AW13" s="529">
        <f t="shared" si="1"/>
        <v>5484097</v>
      </c>
      <c r="AX13" s="529">
        <f t="shared" si="1"/>
        <v>5478126</v>
      </c>
      <c r="AY13" s="529">
        <f t="shared" si="1"/>
        <v>5471545</v>
      </c>
      <c r="AZ13" s="529">
        <f t="shared" si="1"/>
        <v>5464337</v>
      </c>
    </row>
    <row r="14" spans="1:52" ht="29.55" customHeight="1" x14ac:dyDescent="0.35">
      <c r="A14" s="533"/>
      <c r="B14" s="18"/>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row>
    <row r="15" spans="1:52" x14ac:dyDescent="0.35">
      <c r="X15" s="18" t="s">
        <v>9</v>
      </c>
    </row>
    <row r="16" spans="1:52" ht="29.55" customHeight="1" x14ac:dyDescent="0.35">
      <c r="A16" s="533"/>
      <c r="B16" s="18"/>
      <c r="C16" s="18"/>
      <c r="D16" s="18"/>
      <c r="E16" s="18"/>
      <c r="F16" s="18"/>
      <c r="G16" s="18"/>
      <c r="H16" s="18"/>
      <c r="I16" s="18"/>
      <c r="J16" s="18"/>
      <c r="K16" s="18"/>
      <c r="L16" s="18"/>
      <c r="M16" s="18"/>
      <c r="N16" s="18"/>
      <c r="O16" s="18"/>
      <c r="P16" s="18"/>
      <c r="Q16" s="18"/>
      <c r="R16" s="18"/>
      <c r="S16" s="18"/>
      <c r="T16" s="18"/>
      <c r="U16" s="18"/>
      <c r="V16" s="18"/>
      <c r="W16" s="18"/>
      <c r="Y16" s="18"/>
      <c r="Z16" s="18"/>
      <c r="AA16" s="18"/>
      <c r="AB16" s="18"/>
      <c r="AC16" s="18"/>
      <c r="AD16" s="18"/>
      <c r="AE16" s="18"/>
      <c r="AF16" s="18"/>
    </row>
    <row r="17" spans="1:32" ht="29.55" customHeight="1" x14ac:dyDescent="0.35">
      <c r="A17" s="18" t="s">
        <v>341</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row>
    <row r="18" spans="1:32" s="18" customFormat="1" x14ac:dyDescent="0.35">
      <c r="A18" s="534" t="s">
        <v>342</v>
      </c>
      <c r="B18" s="535" t="s">
        <v>76</v>
      </c>
      <c r="C18" s="535" t="s">
        <v>65</v>
      </c>
      <c r="D18" s="535" t="s">
        <v>343</v>
      </c>
      <c r="E18" s="535" t="s">
        <v>344</v>
      </c>
      <c r="F18" s="535" t="s">
        <v>345</v>
      </c>
      <c r="G18" s="535" t="s">
        <v>346</v>
      </c>
      <c r="H18" s="535" t="s">
        <v>347</v>
      </c>
      <c r="I18" s="535" t="s">
        <v>348</v>
      </c>
      <c r="J18" s="535" t="s">
        <v>349</v>
      </c>
      <c r="K18" s="535" t="s">
        <v>350</v>
      </c>
      <c r="L18" s="535" t="s">
        <v>351</v>
      </c>
      <c r="M18" s="535" t="s">
        <v>352</v>
      </c>
      <c r="N18" s="535" t="s">
        <v>353</v>
      </c>
      <c r="O18" s="535" t="s">
        <v>354</v>
      </c>
      <c r="P18" s="535" t="s">
        <v>355</v>
      </c>
      <c r="Q18" s="535" t="s">
        <v>356</v>
      </c>
      <c r="R18" s="535" t="s">
        <v>357</v>
      </c>
      <c r="S18" s="535" t="s">
        <v>358</v>
      </c>
      <c r="T18" s="535" t="s">
        <v>359</v>
      </c>
      <c r="U18" s="535" t="s">
        <v>360</v>
      </c>
      <c r="V18" s="535" t="s">
        <v>361</v>
      </c>
      <c r="W18" s="535" t="s">
        <v>362</v>
      </c>
      <c r="X18" s="535" t="s">
        <v>363</v>
      </c>
      <c r="Y18" s="535" t="s">
        <v>364</v>
      </c>
      <c r="Z18" s="535" t="s">
        <v>365</v>
      </c>
      <c r="AA18" s="535" t="s">
        <v>366</v>
      </c>
      <c r="AB18" s="535" t="s">
        <v>367</v>
      </c>
      <c r="AC18" s="535" t="s">
        <v>368</v>
      </c>
      <c r="AD18" s="535" t="s">
        <v>369</v>
      </c>
      <c r="AE18" s="535" t="s">
        <v>370</v>
      </c>
      <c r="AF18" s="535" t="s">
        <v>371</v>
      </c>
    </row>
    <row r="19" spans="1:32" x14ac:dyDescent="0.35">
      <c r="A19" s="536" t="s">
        <v>372</v>
      </c>
      <c r="B19" s="536" t="s">
        <v>372</v>
      </c>
      <c r="C19" s="536" t="s">
        <v>372</v>
      </c>
      <c r="D19" s="536" t="s">
        <v>372</v>
      </c>
      <c r="E19" s="536" t="s">
        <v>372</v>
      </c>
      <c r="F19" s="536" t="s">
        <v>372</v>
      </c>
      <c r="G19" s="536" t="s">
        <v>372</v>
      </c>
      <c r="H19" s="536" t="s">
        <v>372</v>
      </c>
      <c r="I19" s="536" t="s">
        <v>372</v>
      </c>
      <c r="J19" s="536" t="s">
        <v>372</v>
      </c>
      <c r="K19" s="536" t="s">
        <v>372</v>
      </c>
      <c r="L19" s="536" t="s">
        <v>372</v>
      </c>
      <c r="M19" s="536" t="s">
        <v>372</v>
      </c>
      <c r="N19" s="536" t="s">
        <v>372</v>
      </c>
      <c r="O19" s="536" t="s">
        <v>372</v>
      </c>
      <c r="P19" s="536" t="s">
        <v>372</v>
      </c>
      <c r="Q19" s="536" t="s">
        <v>372</v>
      </c>
      <c r="R19" s="536" t="s">
        <v>372</v>
      </c>
      <c r="S19" s="536" t="s">
        <v>372</v>
      </c>
      <c r="T19" s="536" t="s">
        <v>372</v>
      </c>
      <c r="U19" s="536" t="s">
        <v>372</v>
      </c>
      <c r="V19" s="536" t="s">
        <v>372</v>
      </c>
      <c r="W19" s="536" t="s">
        <v>372</v>
      </c>
      <c r="X19" s="536" t="s">
        <v>372</v>
      </c>
      <c r="Y19" s="536" t="s">
        <v>372</v>
      </c>
      <c r="Z19" s="536" t="s">
        <v>372</v>
      </c>
      <c r="AA19" s="537" t="s">
        <v>372</v>
      </c>
      <c r="AB19" s="536" t="s">
        <v>372</v>
      </c>
      <c r="AC19" s="536" t="s">
        <v>372</v>
      </c>
      <c r="AD19" s="536" t="s">
        <v>372</v>
      </c>
      <c r="AE19" s="536" t="s">
        <v>372</v>
      </c>
      <c r="AF19" s="536" t="s">
        <v>372</v>
      </c>
    </row>
    <row r="20" spans="1:32" x14ac:dyDescent="0.35">
      <c r="A20" s="538" t="s">
        <v>373</v>
      </c>
      <c r="B20" s="536"/>
      <c r="C20" s="536"/>
      <c r="D20" s="536"/>
      <c r="E20" s="536"/>
      <c r="F20" s="536"/>
      <c r="G20" s="536"/>
      <c r="H20" s="536"/>
      <c r="I20" s="536"/>
      <c r="J20" s="536"/>
      <c r="K20" s="536"/>
      <c r="L20" s="536"/>
      <c r="M20" s="536"/>
      <c r="N20" s="536"/>
      <c r="O20" s="536"/>
      <c r="P20" s="536"/>
      <c r="Q20" s="536"/>
      <c r="R20" s="536"/>
      <c r="S20" s="536"/>
      <c r="T20" s="536"/>
      <c r="U20" s="536"/>
      <c r="V20" s="536"/>
      <c r="W20" s="536"/>
      <c r="X20" s="536"/>
      <c r="Y20" s="536"/>
      <c r="Z20" s="536"/>
      <c r="AA20" s="536"/>
      <c r="AB20" s="536"/>
      <c r="AC20" s="536"/>
      <c r="AD20" s="536"/>
      <c r="AE20" s="536"/>
      <c r="AF20" s="536"/>
    </row>
    <row r="21" spans="1:32" x14ac:dyDescent="0.35">
      <c r="A21" s="536" t="s">
        <v>374</v>
      </c>
      <c r="B21" s="539">
        <v>859.79</v>
      </c>
      <c r="C21" s="539">
        <v>851.35299999999995</v>
      </c>
      <c r="D21" s="539">
        <v>842.56399999999996</v>
      </c>
      <c r="E21" s="539">
        <v>829.90099999999995</v>
      </c>
      <c r="F21" s="539">
        <v>816.98</v>
      </c>
      <c r="G21" s="539">
        <v>805.53300000000002</v>
      </c>
      <c r="H21" s="539">
        <v>790.73500000000001</v>
      </c>
      <c r="I21" s="539">
        <v>777.35</v>
      </c>
      <c r="J21" s="539">
        <v>765.01700000000005</v>
      </c>
      <c r="K21" s="539">
        <v>753.48299999999995</v>
      </c>
      <c r="L21" s="539">
        <v>741.85299999999995</v>
      </c>
      <c r="M21" s="539">
        <v>730.63300000000004</v>
      </c>
      <c r="N21" s="539">
        <v>721.25599999999997</v>
      </c>
      <c r="O21" s="539">
        <v>712.96900000000005</v>
      </c>
      <c r="P21" s="539">
        <v>706.13599999999997</v>
      </c>
      <c r="Q21" s="539">
        <v>701.35</v>
      </c>
      <c r="R21" s="539">
        <v>698.66600000000005</v>
      </c>
      <c r="S21" s="539">
        <v>697.06700000000001</v>
      </c>
      <c r="T21" s="539">
        <v>695.82799999999997</v>
      </c>
      <c r="U21" s="539">
        <v>694.50199999999995</v>
      </c>
      <c r="V21" s="539">
        <v>693.32399999999996</v>
      </c>
      <c r="W21" s="539">
        <v>692.47500000000002</v>
      </c>
      <c r="X21" s="539">
        <v>691.90800000000002</v>
      </c>
      <c r="Y21" s="539">
        <v>691.56100000000004</v>
      </c>
      <c r="Z21" s="539">
        <v>691.4</v>
      </c>
      <c r="AA21" s="539">
        <v>691.30200000000002</v>
      </c>
      <c r="AB21" s="539">
        <v>691.11900000000003</v>
      </c>
      <c r="AC21" s="539">
        <v>690.77599999999995</v>
      </c>
      <c r="AD21" s="539">
        <v>690.2</v>
      </c>
      <c r="AE21" s="539">
        <v>689.31299999999999</v>
      </c>
      <c r="AF21" s="539">
        <v>688.05100000000004</v>
      </c>
    </row>
    <row r="22" spans="1:32" x14ac:dyDescent="0.35">
      <c r="A22" s="536" t="s">
        <v>375</v>
      </c>
      <c r="B22" s="539">
        <v>1001.079</v>
      </c>
      <c r="C22" s="539">
        <v>987.98500000000001</v>
      </c>
      <c r="D22" s="539">
        <v>984.73699999999997</v>
      </c>
      <c r="E22" s="539">
        <v>982.697</v>
      </c>
      <c r="F22" s="539">
        <v>982.67200000000003</v>
      </c>
      <c r="G22" s="539">
        <v>982.85500000000002</v>
      </c>
      <c r="H22" s="539">
        <v>985.59199999999998</v>
      </c>
      <c r="I22" s="539">
        <v>985.57299999999998</v>
      </c>
      <c r="J22" s="539">
        <v>986.20899999999995</v>
      </c>
      <c r="K22" s="539">
        <v>986.678</v>
      </c>
      <c r="L22" s="539">
        <v>988.053</v>
      </c>
      <c r="M22" s="539">
        <v>989.12800000000004</v>
      </c>
      <c r="N22" s="539">
        <v>991.63499999999999</v>
      </c>
      <c r="O22" s="539">
        <v>992.69399999999996</v>
      </c>
      <c r="P22" s="539">
        <v>990.58600000000001</v>
      </c>
      <c r="Q22" s="539">
        <v>985.18700000000001</v>
      </c>
      <c r="R22" s="539">
        <v>977.09500000000003</v>
      </c>
      <c r="S22" s="539">
        <v>966.74099999999999</v>
      </c>
      <c r="T22" s="539">
        <v>953.572</v>
      </c>
      <c r="U22" s="539">
        <v>940.09199999999998</v>
      </c>
      <c r="V22" s="539">
        <v>928.05399999999997</v>
      </c>
      <c r="W22" s="539">
        <v>912.62099999999998</v>
      </c>
      <c r="X22" s="539">
        <v>898.54</v>
      </c>
      <c r="Y22" s="539">
        <v>885.58100000000002</v>
      </c>
      <c r="Z22" s="539">
        <v>873.49199999999996</v>
      </c>
      <c r="AA22" s="539">
        <v>861.38</v>
      </c>
      <c r="AB22" s="539">
        <v>849.72799999999995</v>
      </c>
      <c r="AC22" s="539">
        <v>839.98400000000004</v>
      </c>
      <c r="AD22" s="539">
        <v>831.375</v>
      </c>
      <c r="AE22" s="539">
        <v>824.27</v>
      </c>
      <c r="AF22" s="539">
        <v>819.24900000000002</v>
      </c>
    </row>
    <row r="23" spans="1:32" x14ac:dyDescent="0.35">
      <c r="A23" s="536" t="s">
        <v>376</v>
      </c>
      <c r="B23" s="539">
        <v>1054.1010000000001</v>
      </c>
      <c r="C23" s="539">
        <v>1070.211</v>
      </c>
      <c r="D23" s="539">
        <v>1092.3979999999999</v>
      </c>
      <c r="E23" s="539">
        <v>1108.068</v>
      </c>
      <c r="F23" s="539">
        <v>1117.336</v>
      </c>
      <c r="G23" s="539">
        <v>1122.182</v>
      </c>
      <c r="H23" s="539">
        <v>1126.0239999999999</v>
      </c>
      <c r="I23" s="539">
        <v>1130.2650000000001</v>
      </c>
      <c r="J23" s="539">
        <v>1133.4690000000001</v>
      </c>
      <c r="K23" s="539">
        <v>1136.336</v>
      </c>
      <c r="L23" s="539">
        <v>1135.7470000000001</v>
      </c>
      <c r="M23" s="539">
        <v>1134.001</v>
      </c>
      <c r="N23" s="539">
        <v>1127.877</v>
      </c>
      <c r="O23" s="539">
        <v>1119.1769999999999</v>
      </c>
      <c r="P23" s="539">
        <v>1111.623</v>
      </c>
      <c r="Q23" s="539">
        <v>1104.357</v>
      </c>
      <c r="R23" s="539">
        <v>1094.4649999999999</v>
      </c>
      <c r="S23" s="539">
        <v>1085.566</v>
      </c>
      <c r="T23" s="539">
        <v>1083.17</v>
      </c>
      <c r="U23" s="539">
        <v>1082.9649999999999</v>
      </c>
      <c r="V23" s="539">
        <v>1083.104</v>
      </c>
      <c r="W23" s="539">
        <v>1085.9359999999999</v>
      </c>
      <c r="X23" s="539">
        <v>1086.1289999999999</v>
      </c>
      <c r="Y23" s="539">
        <v>1086.808</v>
      </c>
      <c r="Z23" s="539">
        <v>1087.2670000000001</v>
      </c>
      <c r="AA23" s="539">
        <v>1088.665</v>
      </c>
      <c r="AB23" s="539">
        <v>1089.71</v>
      </c>
      <c r="AC23" s="539">
        <v>1092.192</v>
      </c>
      <c r="AD23" s="539">
        <v>1093.3240000000001</v>
      </c>
      <c r="AE23" s="539">
        <v>1091.287</v>
      </c>
      <c r="AF23" s="539">
        <v>1085.9280000000001</v>
      </c>
    </row>
    <row r="24" spans="1:32" x14ac:dyDescent="0.35">
      <c r="A24" s="536" t="s">
        <v>377</v>
      </c>
      <c r="B24" s="539">
        <v>1142.3810000000001</v>
      </c>
      <c r="C24" s="539">
        <v>1126.76</v>
      </c>
      <c r="D24" s="539">
        <v>1106.826</v>
      </c>
      <c r="E24" s="539">
        <v>1086.4590000000001</v>
      </c>
      <c r="F24" s="539">
        <v>1071.028</v>
      </c>
      <c r="G24" s="539">
        <v>1057.723</v>
      </c>
      <c r="H24" s="539">
        <v>1048.7750000000001</v>
      </c>
      <c r="I24" s="539">
        <v>1040.2729999999999</v>
      </c>
      <c r="J24" s="539">
        <v>1031.5640000000001</v>
      </c>
      <c r="K24" s="539">
        <v>1023.881</v>
      </c>
      <c r="L24" s="539">
        <v>1021.577</v>
      </c>
      <c r="M24" s="539">
        <v>1019.258</v>
      </c>
      <c r="N24" s="539">
        <v>1020.567</v>
      </c>
      <c r="O24" s="539">
        <v>1028.6130000000001</v>
      </c>
      <c r="P24" s="539">
        <v>1040.836</v>
      </c>
      <c r="Q24" s="539">
        <v>1054.9880000000001</v>
      </c>
      <c r="R24" s="539">
        <v>1072.5809999999999</v>
      </c>
      <c r="S24" s="539">
        <v>1093.4680000000001</v>
      </c>
      <c r="T24" s="539">
        <v>1109.2570000000001</v>
      </c>
      <c r="U24" s="539">
        <v>1118.74</v>
      </c>
      <c r="V24" s="539">
        <v>1123.748</v>
      </c>
      <c r="W24" s="539">
        <v>1127.7180000000001</v>
      </c>
      <c r="X24" s="539">
        <v>1132.048</v>
      </c>
      <c r="Y24" s="539">
        <v>1135.365</v>
      </c>
      <c r="Z24" s="539">
        <v>1138.3409999999999</v>
      </c>
      <c r="AA24" s="539">
        <v>1137.979</v>
      </c>
      <c r="AB24" s="539">
        <v>1136.511</v>
      </c>
      <c r="AC24" s="539">
        <v>1130.7349999999999</v>
      </c>
      <c r="AD24" s="539">
        <v>1122.433</v>
      </c>
      <c r="AE24" s="539">
        <v>1115.2829999999999</v>
      </c>
      <c r="AF24" s="539">
        <v>1108.49</v>
      </c>
    </row>
    <row r="25" spans="1:32" x14ac:dyDescent="0.35">
      <c r="A25" s="536" t="s">
        <v>378</v>
      </c>
      <c r="B25" s="539">
        <v>938.83199999999999</v>
      </c>
      <c r="C25" s="539">
        <v>954.64499999999998</v>
      </c>
      <c r="D25" s="539">
        <v>957.78300000000002</v>
      </c>
      <c r="E25" s="539">
        <v>968.44</v>
      </c>
      <c r="F25" s="539">
        <v>981.50400000000002</v>
      </c>
      <c r="G25" s="539">
        <v>996.98</v>
      </c>
      <c r="H25" s="539">
        <v>1010.5119999999999</v>
      </c>
      <c r="I25" s="539">
        <v>1025.1189999999999</v>
      </c>
      <c r="J25" s="539">
        <v>1037.6210000000001</v>
      </c>
      <c r="K25" s="539">
        <v>1047.7719999999999</v>
      </c>
      <c r="L25" s="539">
        <v>1054.44</v>
      </c>
      <c r="M25" s="539">
        <v>1059.7629999999999</v>
      </c>
      <c r="N25" s="539">
        <v>1060.845</v>
      </c>
      <c r="O25" s="539">
        <v>1056.54</v>
      </c>
      <c r="P25" s="539">
        <v>1046.981</v>
      </c>
      <c r="Q25" s="539">
        <v>1036.0540000000001</v>
      </c>
      <c r="R25" s="539">
        <v>1023.072</v>
      </c>
      <c r="S25" s="539">
        <v>1005.715</v>
      </c>
      <c r="T25" s="539">
        <v>988.25699999999995</v>
      </c>
      <c r="U25" s="539">
        <v>975.54899999999998</v>
      </c>
      <c r="V25" s="539">
        <v>965.13199999999995</v>
      </c>
      <c r="W25" s="539">
        <v>958.58900000000006</v>
      </c>
      <c r="X25" s="539">
        <v>952.62199999999996</v>
      </c>
      <c r="Y25" s="539">
        <v>946.48400000000004</v>
      </c>
      <c r="Z25" s="539">
        <v>941.24800000000005</v>
      </c>
      <c r="AA25" s="539">
        <v>940.89</v>
      </c>
      <c r="AB25" s="539">
        <v>940.74</v>
      </c>
      <c r="AC25" s="539">
        <v>943.81299999999999</v>
      </c>
      <c r="AD25" s="539">
        <v>952.94100000000003</v>
      </c>
      <c r="AE25" s="539">
        <v>965.66</v>
      </c>
      <c r="AF25" s="539">
        <v>980.01599999999996</v>
      </c>
    </row>
    <row r="26" spans="1:32" x14ac:dyDescent="0.35">
      <c r="A26" s="536" t="s">
        <v>379</v>
      </c>
      <c r="B26" s="539">
        <v>469.81700000000001</v>
      </c>
      <c r="C26" s="539">
        <v>476.923</v>
      </c>
      <c r="D26" s="539">
        <v>498.09399999999999</v>
      </c>
      <c r="E26" s="539">
        <v>514.20399999999995</v>
      </c>
      <c r="F26" s="539">
        <v>527.35699999999997</v>
      </c>
      <c r="G26" s="539">
        <v>538.21100000000001</v>
      </c>
      <c r="H26" s="539">
        <v>547.72199999999998</v>
      </c>
      <c r="I26" s="539">
        <v>555.94600000000003</v>
      </c>
      <c r="J26" s="539">
        <v>565.05700000000002</v>
      </c>
      <c r="K26" s="539">
        <v>574.37599999999998</v>
      </c>
      <c r="L26" s="539">
        <v>583.55100000000004</v>
      </c>
      <c r="M26" s="539">
        <v>594.35</v>
      </c>
      <c r="N26" s="539">
        <v>606.02700000000004</v>
      </c>
      <c r="O26" s="539">
        <v>618.45399999999995</v>
      </c>
      <c r="P26" s="539">
        <v>631.70600000000002</v>
      </c>
      <c r="Q26" s="539">
        <v>644.66999999999996</v>
      </c>
      <c r="R26" s="539">
        <v>658.89400000000001</v>
      </c>
      <c r="S26" s="539">
        <v>673.95100000000002</v>
      </c>
      <c r="T26" s="539">
        <v>689.85900000000004</v>
      </c>
      <c r="U26" s="539">
        <v>705.23299999999995</v>
      </c>
      <c r="V26" s="539">
        <v>720.60699999999997</v>
      </c>
      <c r="W26" s="539">
        <v>733.245</v>
      </c>
      <c r="X26" s="539">
        <v>745.68499999999995</v>
      </c>
      <c r="Y26" s="539">
        <v>757.22</v>
      </c>
      <c r="Z26" s="539">
        <v>767.12599999999998</v>
      </c>
      <c r="AA26" s="539">
        <v>774.19500000000005</v>
      </c>
      <c r="AB26" s="539">
        <v>781.69299999999998</v>
      </c>
      <c r="AC26" s="539">
        <v>786.59699999999998</v>
      </c>
      <c r="AD26" s="539">
        <v>787.85299999999995</v>
      </c>
      <c r="AE26" s="539">
        <v>785.73199999999997</v>
      </c>
      <c r="AF26" s="539">
        <v>782.60299999999995</v>
      </c>
    </row>
    <row r="27" spans="1:32" x14ac:dyDescent="0.35">
      <c r="A27" s="540"/>
      <c r="B27" s="536" t="s">
        <v>372</v>
      </c>
      <c r="C27" s="536" t="s">
        <v>372</v>
      </c>
      <c r="D27" s="536" t="s">
        <v>372</v>
      </c>
      <c r="E27" s="536" t="s">
        <v>372</v>
      </c>
      <c r="F27" s="536" t="s">
        <v>372</v>
      </c>
      <c r="G27" s="536" t="s">
        <v>372</v>
      </c>
      <c r="H27" s="536" t="s">
        <v>372</v>
      </c>
      <c r="I27" s="536" t="s">
        <v>372</v>
      </c>
      <c r="J27" s="536" t="s">
        <v>372</v>
      </c>
      <c r="K27" s="536" t="s">
        <v>372</v>
      </c>
      <c r="L27" s="536" t="s">
        <v>372</v>
      </c>
      <c r="M27" s="536" t="s">
        <v>372</v>
      </c>
      <c r="N27" s="536" t="s">
        <v>372</v>
      </c>
      <c r="O27" s="536" t="s">
        <v>372</v>
      </c>
      <c r="P27" s="536" t="s">
        <v>372</v>
      </c>
      <c r="Q27" s="536" t="s">
        <v>372</v>
      </c>
      <c r="R27" s="536" t="s">
        <v>372</v>
      </c>
      <c r="S27" s="536" t="s">
        <v>372</v>
      </c>
      <c r="T27" s="536" t="s">
        <v>372</v>
      </c>
      <c r="U27" s="536" t="s">
        <v>372</v>
      </c>
      <c r="V27" s="536" t="s">
        <v>372</v>
      </c>
      <c r="W27" s="536" t="s">
        <v>372</v>
      </c>
      <c r="X27" s="536" t="s">
        <v>372</v>
      </c>
      <c r="Y27" s="536" t="s">
        <v>372</v>
      </c>
      <c r="Z27" s="536" t="s">
        <v>372</v>
      </c>
      <c r="AA27" s="537" t="s">
        <v>372</v>
      </c>
      <c r="AB27" s="536" t="s">
        <v>372</v>
      </c>
      <c r="AC27" s="536" t="s">
        <v>372</v>
      </c>
      <c r="AD27" s="536" t="s">
        <v>372</v>
      </c>
      <c r="AE27" s="536" t="s">
        <v>372</v>
      </c>
      <c r="AF27" s="536" t="s">
        <v>372</v>
      </c>
    </row>
    <row r="28" spans="1:32" x14ac:dyDescent="0.35">
      <c r="A28" s="536" t="s">
        <v>380</v>
      </c>
      <c r="B28" s="539">
        <v>5466</v>
      </c>
      <c r="C28" s="539">
        <v>5467.8770000000004</v>
      </c>
      <c r="D28" s="539">
        <v>5482.402</v>
      </c>
      <c r="E28" s="539">
        <v>5489.7690000000002</v>
      </c>
      <c r="F28" s="539">
        <v>5496.8770000000004</v>
      </c>
      <c r="G28" s="539">
        <v>5503.4840000000004</v>
      </c>
      <c r="H28" s="539">
        <v>5509.36</v>
      </c>
      <c r="I28" s="539">
        <v>5514.5259999999998</v>
      </c>
      <c r="J28" s="539">
        <v>5518.9369999999999</v>
      </c>
      <c r="K28" s="539">
        <v>5522.5259999999998</v>
      </c>
      <c r="L28" s="539">
        <v>5525.2209999999995</v>
      </c>
      <c r="M28" s="539">
        <v>5527.1329999999998</v>
      </c>
      <c r="N28" s="539">
        <v>5528.2070000000003</v>
      </c>
      <c r="O28" s="539">
        <v>5528.4470000000001</v>
      </c>
      <c r="P28" s="539">
        <v>5527.8680000000004</v>
      </c>
      <c r="Q28" s="539">
        <v>5526.6059999999998</v>
      </c>
      <c r="R28" s="539">
        <v>5524.7730000000001</v>
      </c>
      <c r="S28" s="539">
        <v>5522.5079999999998</v>
      </c>
      <c r="T28" s="539">
        <v>5519.9430000000002</v>
      </c>
      <c r="U28" s="539">
        <v>5517.0810000000001</v>
      </c>
      <c r="V28" s="539">
        <v>5513.9690000000001</v>
      </c>
      <c r="W28" s="539">
        <v>5510.5839999999998</v>
      </c>
      <c r="X28" s="539">
        <v>5506.9319999999998</v>
      </c>
      <c r="Y28" s="539">
        <v>5503.0190000000002</v>
      </c>
      <c r="Z28" s="539">
        <v>5498.8739999999998</v>
      </c>
      <c r="AA28" s="539">
        <v>5494.4110000000001</v>
      </c>
      <c r="AB28" s="539">
        <v>5489.5010000000002</v>
      </c>
      <c r="AC28" s="539">
        <v>5484.0969999999998</v>
      </c>
      <c r="AD28" s="539">
        <v>5478.1260000000002</v>
      </c>
      <c r="AE28" s="539">
        <v>5471.5450000000001</v>
      </c>
      <c r="AF28" s="539">
        <v>5464.3370000000004</v>
      </c>
    </row>
    <row r="29" spans="1:32" x14ac:dyDescent="0.35">
      <c r="A29" s="421"/>
      <c r="B29" s="536" t="s">
        <v>372</v>
      </c>
      <c r="C29" s="536" t="s">
        <v>372</v>
      </c>
      <c r="D29" s="536" t="s">
        <v>372</v>
      </c>
      <c r="E29" s="536" t="s">
        <v>372</v>
      </c>
      <c r="F29" s="536" t="s">
        <v>372</v>
      </c>
      <c r="G29" s="536" t="s">
        <v>372</v>
      </c>
      <c r="H29" s="536" t="s">
        <v>372</v>
      </c>
      <c r="I29" s="536" t="s">
        <v>372</v>
      </c>
      <c r="J29" s="536" t="s">
        <v>372</v>
      </c>
      <c r="K29" s="536" t="s">
        <v>372</v>
      </c>
      <c r="L29" s="536" t="s">
        <v>372</v>
      </c>
      <c r="M29" s="536" t="s">
        <v>372</v>
      </c>
      <c r="N29" s="536" t="s">
        <v>372</v>
      </c>
      <c r="O29" s="536" t="s">
        <v>372</v>
      </c>
      <c r="P29" s="536" t="s">
        <v>372</v>
      </c>
      <c r="Q29" s="536" t="s">
        <v>372</v>
      </c>
      <c r="R29" s="536" t="s">
        <v>372</v>
      </c>
      <c r="S29" s="536" t="s">
        <v>372</v>
      </c>
      <c r="T29" s="536" t="s">
        <v>372</v>
      </c>
      <c r="U29" s="536" t="s">
        <v>372</v>
      </c>
      <c r="V29" s="536" t="s">
        <v>372</v>
      </c>
      <c r="W29" s="536" t="s">
        <v>372</v>
      </c>
      <c r="X29" s="536" t="s">
        <v>372</v>
      </c>
      <c r="Y29" s="536" t="s">
        <v>372</v>
      </c>
      <c r="Z29" s="536" t="s">
        <v>372</v>
      </c>
      <c r="AA29" s="537" t="s">
        <v>372</v>
      </c>
      <c r="AB29" s="536" t="s">
        <v>372</v>
      </c>
      <c r="AC29" s="536" t="s">
        <v>372</v>
      </c>
      <c r="AD29" s="536" t="s">
        <v>372</v>
      </c>
      <c r="AE29" s="536" t="s">
        <v>372</v>
      </c>
      <c r="AF29" s="536" t="s">
        <v>372</v>
      </c>
    </row>
    <row r="30" spans="1:32" x14ac:dyDescent="0.35">
      <c r="A30" s="541" t="s">
        <v>381</v>
      </c>
      <c r="B30" s="421"/>
      <c r="C30" s="421"/>
      <c r="D30" s="421"/>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row>
    <row r="31" spans="1:32" x14ac:dyDescent="0.35">
      <c r="A31" s="536" t="s">
        <v>374</v>
      </c>
      <c r="B31" s="542">
        <v>15.72978412</v>
      </c>
      <c r="C31" s="542">
        <v>15.570083233</v>
      </c>
      <c r="D31" s="542">
        <v>15.368519127000001</v>
      </c>
      <c r="E31" s="542">
        <v>15.117229887000001</v>
      </c>
      <c r="F31" s="542">
        <v>14.862621085000001</v>
      </c>
      <c r="G31" s="542">
        <v>14.636782809</v>
      </c>
      <c r="H31" s="542">
        <v>14.352574528</v>
      </c>
      <c r="I31" s="542">
        <v>14.096406473</v>
      </c>
      <c r="J31" s="542">
        <v>13.861673</v>
      </c>
      <c r="K31" s="542">
        <v>13.643810821000001</v>
      </c>
      <c r="L31" s="542">
        <v>13.426666553</v>
      </c>
      <c r="M31" s="542">
        <v>13.219023315999999</v>
      </c>
      <c r="N31" s="542">
        <v>13.046834172000001</v>
      </c>
      <c r="O31" s="542">
        <v>12.896370355</v>
      </c>
      <c r="P31" s="542">
        <v>12.774111103999999</v>
      </c>
      <c r="Q31" s="542">
        <v>12.690428809</v>
      </c>
      <c r="R31" s="542">
        <v>12.646058037</v>
      </c>
      <c r="S31" s="542">
        <v>12.622290452</v>
      </c>
      <c r="T31" s="542">
        <v>12.605709878000001</v>
      </c>
      <c r="U31" s="542">
        <v>12.588214674</v>
      </c>
      <c r="V31" s="542">
        <v>12.573955349</v>
      </c>
      <c r="W31" s="542">
        <v>12.566272467999999</v>
      </c>
      <c r="X31" s="542">
        <v>12.564309854999999</v>
      </c>
      <c r="Y31" s="542">
        <v>12.566938257</v>
      </c>
      <c r="Z31" s="542">
        <v>12.573483226</v>
      </c>
      <c r="AA31" s="542">
        <v>12.581912784</v>
      </c>
      <c r="AB31" s="542">
        <v>12.589832846</v>
      </c>
      <c r="AC31" s="542">
        <v>12.595984353</v>
      </c>
      <c r="AD31" s="542">
        <v>12.599199069000001</v>
      </c>
      <c r="AE31" s="542">
        <v>12.598141841</v>
      </c>
      <c r="AF31" s="542">
        <v>12.591664826000001</v>
      </c>
    </row>
    <row r="32" spans="1:32" x14ac:dyDescent="0.35">
      <c r="A32" s="536" t="s">
        <v>375</v>
      </c>
      <c r="B32" s="542">
        <v>18.314654225999998</v>
      </c>
      <c r="C32" s="542">
        <v>18.068895844</v>
      </c>
      <c r="D32" s="542">
        <v>17.961780256000001</v>
      </c>
      <c r="E32" s="542">
        <v>17.900516397000001</v>
      </c>
      <c r="F32" s="542">
        <v>17.876914472999999</v>
      </c>
      <c r="G32" s="542">
        <v>17.858778184999998</v>
      </c>
      <c r="H32" s="542">
        <v>17.889410022</v>
      </c>
      <c r="I32" s="542">
        <v>17.872306704</v>
      </c>
      <c r="J32" s="542">
        <v>17.869546254999999</v>
      </c>
      <c r="K32" s="542">
        <v>17.866425618000001</v>
      </c>
      <c r="L32" s="542">
        <v>17.882596913</v>
      </c>
      <c r="M32" s="542">
        <v>17.895860294999999</v>
      </c>
      <c r="N32" s="542">
        <v>17.937732794999999</v>
      </c>
      <c r="O32" s="542">
        <v>17.956109555000001</v>
      </c>
      <c r="P32" s="542">
        <v>17.919856263</v>
      </c>
      <c r="Q32" s="542">
        <v>17.826257200000001</v>
      </c>
      <c r="R32" s="542">
        <v>17.685704009999998</v>
      </c>
      <c r="S32" s="542">
        <v>17.505470340999999</v>
      </c>
      <c r="T32" s="542">
        <v>17.275033455999999</v>
      </c>
      <c r="U32" s="542">
        <v>17.039662822</v>
      </c>
      <c r="V32" s="542">
        <v>16.830961509000002</v>
      </c>
      <c r="W32" s="542">
        <v>16.561239243999999</v>
      </c>
      <c r="X32" s="542">
        <v>16.316526153000002</v>
      </c>
      <c r="Y32" s="542">
        <v>16.092639331000001</v>
      </c>
      <c r="Z32" s="542">
        <v>15.884924805000001</v>
      </c>
      <c r="AA32" s="542">
        <v>15.677385620000001</v>
      </c>
      <c r="AB32" s="542">
        <v>15.479148286999999</v>
      </c>
      <c r="AC32" s="542">
        <v>15.316723975</v>
      </c>
      <c r="AD32" s="542">
        <v>15.176266482000001</v>
      </c>
      <c r="AE32" s="542">
        <v>15.064666379</v>
      </c>
      <c r="AF32" s="542">
        <v>14.992651442</v>
      </c>
    </row>
    <row r="33" spans="1:33" x14ac:dyDescent="0.35">
      <c r="A33" s="536" t="s">
        <v>376</v>
      </c>
      <c r="B33" s="542">
        <v>19.284687157</v>
      </c>
      <c r="C33" s="542">
        <v>19.572697045000002</v>
      </c>
      <c r="D33" s="542">
        <v>19.925536289</v>
      </c>
      <c r="E33" s="542">
        <v>20.18423726</v>
      </c>
      <c r="F33" s="542">
        <v>20.326741894000001</v>
      </c>
      <c r="G33" s="542">
        <v>20.390392704</v>
      </c>
      <c r="H33" s="542">
        <v>20.438381228000001</v>
      </c>
      <c r="I33" s="542">
        <v>20.496140557</v>
      </c>
      <c r="J33" s="542">
        <v>20.537813712999998</v>
      </c>
      <c r="K33" s="542">
        <v>20.576381171000001</v>
      </c>
      <c r="L33" s="542">
        <v>20.55568456</v>
      </c>
      <c r="M33" s="542">
        <v>20.516984122</v>
      </c>
      <c r="N33" s="542">
        <v>20.402220829000001</v>
      </c>
      <c r="O33" s="542">
        <v>20.243967248000001</v>
      </c>
      <c r="P33" s="542">
        <v>20.109434596</v>
      </c>
      <c r="Q33" s="542">
        <v>19.982553488000001</v>
      </c>
      <c r="R33" s="542">
        <v>19.810135186</v>
      </c>
      <c r="S33" s="542">
        <v>19.657119555000001</v>
      </c>
      <c r="T33" s="542">
        <v>19.622847555</v>
      </c>
      <c r="U33" s="542">
        <v>19.629311224999999</v>
      </c>
      <c r="V33" s="542">
        <v>19.642910578999999</v>
      </c>
      <c r="W33" s="542">
        <v>19.706368690000001</v>
      </c>
      <c r="X33" s="542">
        <v>19.722941921</v>
      </c>
      <c r="Y33" s="542">
        <v>19.749304882000001</v>
      </c>
      <c r="Z33" s="542">
        <v>19.772538887</v>
      </c>
      <c r="AA33" s="542">
        <v>19.814043762000001</v>
      </c>
      <c r="AB33" s="542">
        <v>19.850802468000001</v>
      </c>
      <c r="AC33" s="542">
        <v>19.915621477999998</v>
      </c>
      <c r="AD33" s="542">
        <v>19.957992934</v>
      </c>
      <c r="AE33" s="542">
        <v>19.944768798999998</v>
      </c>
      <c r="AF33" s="542">
        <v>19.873005635999998</v>
      </c>
    </row>
    <row r="34" spans="1:33" x14ac:dyDescent="0.35">
      <c r="A34" s="536" t="s">
        <v>377</v>
      </c>
      <c r="B34" s="542">
        <v>20.899762165999999</v>
      </c>
      <c r="C34" s="542">
        <v>20.606900996</v>
      </c>
      <c r="D34" s="542">
        <v>20.188705607999999</v>
      </c>
      <c r="E34" s="542">
        <v>19.790614140999999</v>
      </c>
      <c r="F34" s="542">
        <v>19.484299903</v>
      </c>
      <c r="G34" s="542">
        <v>19.219152813000001</v>
      </c>
      <c r="H34" s="542">
        <v>19.036240144000001</v>
      </c>
      <c r="I34" s="542">
        <v>18.864232393000002</v>
      </c>
      <c r="J34" s="542">
        <v>18.691353063000001</v>
      </c>
      <c r="K34" s="542">
        <v>18.540084737000001</v>
      </c>
      <c r="L34" s="542">
        <v>18.489341874000001</v>
      </c>
      <c r="M34" s="542">
        <v>18.440989207000001</v>
      </c>
      <c r="N34" s="542">
        <v>18.461085122</v>
      </c>
      <c r="O34" s="542">
        <v>18.605821851999998</v>
      </c>
      <c r="P34" s="542">
        <v>18.828886652000001</v>
      </c>
      <c r="Q34" s="542">
        <v>19.089256589000001</v>
      </c>
      <c r="R34" s="542">
        <v>19.414028413</v>
      </c>
      <c r="S34" s="542">
        <v>19.800206717999998</v>
      </c>
      <c r="T34" s="542">
        <v>20.095443015000001</v>
      </c>
      <c r="U34" s="542">
        <v>20.277751948999999</v>
      </c>
      <c r="V34" s="542">
        <v>20.380020271999999</v>
      </c>
      <c r="W34" s="542">
        <v>20.464582338</v>
      </c>
      <c r="X34" s="542">
        <v>20.556781889</v>
      </c>
      <c r="Y34" s="542">
        <v>20.631675086000001</v>
      </c>
      <c r="Z34" s="542">
        <v>20.701347220999999</v>
      </c>
      <c r="AA34" s="542">
        <v>20.711573997999999</v>
      </c>
      <c r="AB34" s="542">
        <v>20.703357189999998</v>
      </c>
      <c r="AC34" s="542">
        <v>20.618435451</v>
      </c>
      <c r="AD34" s="542">
        <v>20.489360778000002</v>
      </c>
      <c r="AE34" s="542">
        <v>20.383328658</v>
      </c>
      <c r="AF34" s="542">
        <v>20.285901107000001</v>
      </c>
    </row>
    <row r="35" spans="1:33" x14ac:dyDescent="0.35">
      <c r="A35" s="536" t="s">
        <v>378</v>
      </c>
      <c r="B35" s="542">
        <v>17.175850713999999</v>
      </c>
      <c r="C35" s="542">
        <v>17.459152794000001</v>
      </c>
      <c r="D35" s="542">
        <v>17.470134440999999</v>
      </c>
      <c r="E35" s="542">
        <v>17.640815124</v>
      </c>
      <c r="F35" s="542">
        <v>17.855666045</v>
      </c>
      <c r="G35" s="542">
        <v>18.115433787000001</v>
      </c>
      <c r="H35" s="542">
        <v>18.341731162999999</v>
      </c>
      <c r="I35" s="542">
        <v>18.589430896</v>
      </c>
      <c r="J35" s="542">
        <v>18.801102458999999</v>
      </c>
      <c r="K35" s="542">
        <v>18.972694742000002</v>
      </c>
      <c r="L35" s="542">
        <v>19.084123513000002</v>
      </c>
      <c r="M35" s="542">
        <v>19.173828456999999</v>
      </c>
      <c r="N35" s="542">
        <v>19.189675784999999</v>
      </c>
      <c r="O35" s="542">
        <v>19.110972755999999</v>
      </c>
      <c r="P35" s="542">
        <v>18.940050667000001</v>
      </c>
      <c r="Q35" s="542">
        <v>18.746659342000001</v>
      </c>
      <c r="R35" s="542">
        <v>18.517901096999999</v>
      </c>
      <c r="S35" s="542">
        <v>18.211200418000001</v>
      </c>
      <c r="T35" s="542">
        <v>17.903391394</v>
      </c>
      <c r="U35" s="542">
        <v>17.682339629000001</v>
      </c>
      <c r="V35" s="542">
        <v>17.503399093999999</v>
      </c>
      <c r="W35" s="542">
        <v>17.395415802999999</v>
      </c>
      <c r="X35" s="542">
        <v>17.298597477000001</v>
      </c>
      <c r="Y35" s="542">
        <v>17.199359115</v>
      </c>
      <c r="Z35" s="542">
        <v>17.117104338000001</v>
      </c>
      <c r="AA35" s="542">
        <v>17.124492506999999</v>
      </c>
      <c r="AB35" s="542">
        <v>17.137076757999999</v>
      </c>
      <c r="AC35" s="542">
        <v>17.209998291000002</v>
      </c>
      <c r="AD35" s="542">
        <v>17.395383020000001</v>
      </c>
      <c r="AE35" s="542">
        <v>17.648762826999999</v>
      </c>
      <c r="AF35" s="542">
        <v>17.934765003999999</v>
      </c>
    </row>
    <row r="36" spans="1:33" x14ac:dyDescent="0.35">
      <c r="A36" s="536" t="s">
        <v>379</v>
      </c>
      <c r="B36" s="542">
        <v>8.5952616173000003</v>
      </c>
      <c r="C36" s="542">
        <v>8.7222700876000001</v>
      </c>
      <c r="D36" s="542">
        <v>9.0853242794</v>
      </c>
      <c r="E36" s="542">
        <v>9.3665871916000008</v>
      </c>
      <c r="F36" s="542">
        <v>9.5937566003000008</v>
      </c>
      <c r="G36" s="542">
        <v>9.7794597023000005</v>
      </c>
      <c r="H36" s="542">
        <v>9.9416629155000003</v>
      </c>
      <c r="I36" s="542">
        <v>10.081482978</v>
      </c>
      <c r="J36" s="542">
        <v>10.23851151</v>
      </c>
      <c r="K36" s="542">
        <v>10.400602913</v>
      </c>
      <c r="L36" s="542">
        <v>10.561586586000001</v>
      </c>
      <c r="M36" s="542">
        <v>10.753314603</v>
      </c>
      <c r="N36" s="542">
        <v>10.962451298</v>
      </c>
      <c r="O36" s="542">
        <v>11.186758233999999</v>
      </c>
      <c r="P36" s="542">
        <v>11.427660718</v>
      </c>
      <c r="Q36" s="542">
        <v>11.664844572</v>
      </c>
      <c r="R36" s="542">
        <v>11.926173256</v>
      </c>
      <c r="S36" s="542">
        <v>12.203712516</v>
      </c>
      <c r="T36" s="542">
        <v>12.497574703</v>
      </c>
      <c r="U36" s="542">
        <v>12.782719703</v>
      </c>
      <c r="V36" s="542">
        <v>13.068753198</v>
      </c>
      <c r="W36" s="542">
        <v>13.306121456</v>
      </c>
      <c r="X36" s="542">
        <v>13.540842704999999</v>
      </c>
      <c r="Y36" s="542">
        <v>13.760083329</v>
      </c>
      <c r="Z36" s="542">
        <v>13.950601523</v>
      </c>
      <c r="AA36" s="542">
        <v>14.090591330000001</v>
      </c>
      <c r="AB36" s="542">
        <v>14.23978245</v>
      </c>
      <c r="AC36" s="542">
        <v>14.343236452999999</v>
      </c>
      <c r="AD36" s="542">
        <v>14.381797717</v>
      </c>
      <c r="AE36" s="542">
        <v>14.360331497000001</v>
      </c>
      <c r="AF36" s="542">
        <v>14.322011984</v>
      </c>
    </row>
    <row r="37" spans="1:33" x14ac:dyDescent="0.35">
      <c r="A37" s="540"/>
      <c r="B37" s="536" t="s">
        <v>372</v>
      </c>
      <c r="C37" s="536" t="s">
        <v>372</v>
      </c>
      <c r="D37" s="536" t="s">
        <v>372</v>
      </c>
      <c r="E37" s="536" t="s">
        <v>372</v>
      </c>
      <c r="F37" s="536" t="s">
        <v>372</v>
      </c>
      <c r="G37" s="536" t="s">
        <v>372</v>
      </c>
      <c r="H37" s="536" t="s">
        <v>372</v>
      </c>
      <c r="I37" s="536" t="s">
        <v>372</v>
      </c>
      <c r="J37" s="536" t="s">
        <v>372</v>
      </c>
      <c r="K37" s="536" t="s">
        <v>372</v>
      </c>
      <c r="L37" s="536" t="s">
        <v>372</v>
      </c>
      <c r="M37" s="536" t="s">
        <v>372</v>
      </c>
      <c r="N37" s="536" t="s">
        <v>372</v>
      </c>
      <c r="O37" s="536" t="s">
        <v>372</v>
      </c>
      <c r="P37" s="536" t="s">
        <v>372</v>
      </c>
      <c r="Q37" s="536" t="s">
        <v>372</v>
      </c>
      <c r="R37" s="536" t="s">
        <v>372</v>
      </c>
      <c r="S37" s="536" t="s">
        <v>372</v>
      </c>
      <c r="T37" s="536" t="s">
        <v>372</v>
      </c>
      <c r="U37" s="536" t="s">
        <v>372</v>
      </c>
      <c r="V37" s="536" t="s">
        <v>372</v>
      </c>
      <c r="W37" s="536" t="s">
        <v>372</v>
      </c>
      <c r="X37" s="536" t="s">
        <v>372</v>
      </c>
      <c r="Y37" s="536" t="s">
        <v>372</v>
      </c>
      <c r="Z37" s="536" t="s">
        <v>372</v>
      </c>
      <c r="AA37" s="537" t="s">
        <v>372</v>
      </c>
      <c r="AB37" s="536" t="s">
        <v>372</v>
      </c>
      <c r="AC37" s="536" t="s">
        <v>372</v>
      </c>
      <c r="AD37" s="536" t="s">
        <v>372</v>
      </c>
      <c r="AE37" s="536" t="s">
        <v>372</v>
      </c>
      <c r="AF37" s="536" t="s">
        <v>372</v>
      </c>
    </row>
    <row r="38" spans="1:33" x14ac:dyDescent="0.35">
      <c r="A38" s="543" t="s">
        <v>380</v>
      </c>
      <c r="B38" s="542">
        <v>100</v>
      </c>
      <c r="C38" s="542">
        <v>100</v>
      </c>
      <c r="D38" s="542">
        <v>100</v>
      </c>
      <c r="E38" s="542">
        <v>100</v>
      </c>
      <c r="F38" s="542">
        <v>100</v>
      </c>
      <c r="G38" s="542">
        <v>100</v>
      </c>
      <c r="H38" s="542">
        <v>100</v>
      </c>
      <c r="I38" s="542">
        <v>100</v>
      </c>
      <c r="J38" s="542">
        <v>100</v>
      </c>
      <c r="K38" s="542">
        <v>100</v>
      </c>
      <c r="L38" s="542">
        <v>100</v>
      </c>
      <c r="M38" s="542">
        <v>100</v>
      </c>
      <c r="N38" s="542">
        <v>100</v>
      </c>
      <c r="O38" s="542">
        <v>100</v>
      </c>
      <c r="P38" s="542">
        <v>100</v>
      </c>
      <c r="Q38" s="542">
        <v>100</v>
      </c>
      <c r="R38" s="542">
        <v>100</v>
      </c>
      <c r="S38" s="542">
        <v>100</v>
      </c>
      <c r="T38" s="542">
        <v>100</v>
      </c>
      <c r="U38" s="542">
        <v>100</v>
      </c>
      <c r="V38" s="542">
        <v>100</v>
      </c>
      <c r="W38" s="542">
        <v>100</v>
      </c>
      <c r="X38" s="542">
        <v>100</v>
      </c>
      <c r="Y38" s="542">
        <v>100</v>
      </c>
      <c r="Z38" s="542">
        <v>100</v>
      </c>
      <c r="AA38" s="542">
        <v>100</v>
      </c>
      <c r="AB38" s="542">
        <v>100</v>
      </c>
      <c r="AC38" s="542">
        <v>100</v>
      </c>
      <c r="AD38" s="542">
        <v>100</v>
      </c>
      <c r="AE38" s="542">
        <v>100</v>
      </c>
      <c r="AF38" s="542">
        <v>100</v>
      </c>
    </row>
    <row r="39" spans="1:33" ht="18.600000000000001" thickBot="1" x14ac:dyDescent="0.4">
      <c r="A39" s="544"/>
      <c r="B39" s="545"/>
      <c r="C39" s="545"/>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row>
    <row r="40" spans="1:33" x14ac:dyDescent="0.35">
      <c r="A40" s="546" t="s">
        <v>382</v>
      </c>
      <c r="B40" s="542">
        <v>42.219137760999999</v>
      </c>
      <c r="C40" s="542">
        <v>42.415900266000001</v>
      </c>
      <c r="D40" s="542">
        <v>42.572466775999999</v>
      </c>
      <c r="E40" s="542">
        <v>42.764495828999998</v>
      </c>
      <c r="F40" s="542">
        <v>42.951538392000003</v>
      </c>
      <c r="G40" s="542">
        <v>43.135336088999999</v>
      </c>
      <c r="H40" s="542">
        <v>43.317451210000002</v>
      </c>
      <c r="I40" s="542">
        <v>43.497732353000004</v>
      </c>
      <c r="J40" s="542">
        <v>43.674800691000002</v>
      </c>
      <c r="K40" s="542">
        <v>43.848569839</v>
      </c>
      <c r="L40" s="542">
        <v>44.019349904999999</v>
      </c>
      <c r="M40" s="542">
        <v>44.186413733999998</v>
      </c>
      <c r="N40" s="542">
        <v>44.349859457000001</v>
      </c>
      <c r="O40" s="542">
        <v>44.509638330999998</v>
      </c>
      <c r="P40" s="542">
        <v>44.665287413000001</v>
      </c>
      <c r="Q40" s="542">
        <v>44.816602269000001</v>
      </c>
      <c r="R40" s="542">
        <v>44.962549502000002</v>
      </c>
      <c r="S40" s="542">
        <v>45.102326153</v>
      </c>
      <c r="T40" s="542">
        <v>45.235708684000002</v>
      </c>
      <c r="U40" s="542">
        <v>45.362698408999997</v>
      </c>
      <c r="V40" s="542">
        <v>45.483704840999998</v>
      </c>
      <c r="W40" s="542">
        <v>45.599214347999997</v>
      </c>
      <c r="X40" s="542">
        <v>45.709991698000003</v>
      </c>
      <c r="Y40" s="542">
        <v>45.816355440999999</v>
      </c>
      <c r="Z40" s="542">
        <v>45.918855751000002</v>
      </c>
      <c r="AA40" s="542">
        <v>46.018469951</v>
      </c>
      <c r="AB40" s="542">
        <v>46.116314670000001</v>
      </c>
      <c r="AC40" s="542">
        <v>46.212766203999998</v>
      </c>
      <c r="AD40" s="542">
        <v>46.308524849999998</v>
      </c>
      <c r="AE40" s="542">
        <v>46.404269818000003</v>
      </c>
      <c r="AF40" s="542">
        <v>46.500275971000001</v>
      </c>
    </row>
    <row r="41" spans="1:33" x14ac:dyDescent="0.35">
      <c r="A41" s="547" t="s">
        <v>383</v>
      </c>
      <c r="B41" s="542">
        <v>42.090427241</v>
      </c>
      <c r="C41" s="542">
        <v>42.219638224000001</v>
      </c>
      <c r="D41" s="542">
        <v>42.297026582000001</v>
      </c>
      <c r="E41" s="542">
        <v>42.455541842999999</v>
      </c>
      <c r="F41" s="542">
        <v>42.619571860999997</v>
      </c>
      <c r="G41" s="542">
        <v>42.782833535000002</v>
      </c>
      <c r="H41" s="542">
        <v>42.937282427</v>
      </c>
      <c r="I41" s="542">
        <v>43.084866570000003</v>
      </c>
      <c r="J41" s="542">
        <v>43.254112157000002</v>
      </c>
      <c r="K41" s="542">
        <v>43.429989317999997</v>
      </c>
      <c r="L41" s="542">
        <v>43.611200224999997</v>
      </c>
      <c r="M41" s="542">
        <v>43.801531494000002</v>
      </c>
      <c r="N41" s="542">
        <v>44.010818936</v>
      </c>
      <c r="O41" s="542">
        <v>44.221388017999999</v>
      </c>
      <c r="P41" s="542">
        <v>44.435355295000001</v>
      </c>
      <c r="Q41" s="542">
        <v>44.662878927000001</v>
      </c>
      <c r="R41" s="542">
        <v>44.904517441000003</v>
      </c>
      <c r="S41" s="542">
        <v>45.144766824999998</v>
      </c>
      <c r="T41" s="542">
        <v>45.350541775000003</v>
      </c>
      <c r="U41" s="542">
        <v>45.535593863000003</v>
      </c>
      <c r="V41" s="542">
        <v>45.702760042000001</v>
      </c>
      <c r="W41" s="542">
        <v>45.854907804</v>
      </c>
      <c r="X41" s="542">
        <v>46.008957330000001</v>
      </c>
      <c r="Y41" s="542">
        <v>46.172437555000002</v>
      </c>
      <c r="Z41" s="542">
        <v>46.318377935000001</v>
      </c>
      <c r="AA41" s="542">
        <v>46.453146025999999</v>
      </c>
      <c r="AB41" s="542">
        <v>46.578357539999999</v>
      </c>
      <c r="AC41" s="542">
        <v>46.696395698000003</v>
      </c>
      <c r="AD41" s="542">
        <v>46.804373746000003</v>
      </c>
      <c r="AE41" s="542">
        <v>46.879556317000002</v>
      </c>
      <c r="AF41" s="542">
        <v>46.958855137</v>
      </c>
    </row>
    <row r="43" spans="1:33" x14ac:dyDescent="0.35">
      <c r="A43" s="18" t="s">
        <v>491</v>
      </c>
    </row>
    <row r="44" spans="1:33" ht="54.6" thickBot="1" x14ac:dyDescent="0.4">
      <c r="A44" s="548" t="s">
        <v>264</v>
      </c>
      <c r="B44" s="549" t="s">
        <v>384</v>
      </c>
      <c r="C44" s="548" t="s">
        <v>385</v>
      </c>
      <c r="D44" s="548" t="s">
        <v>386</v>
      </c>
      <c r="E44" s="548" t="s">
        <v>387</v>
      </c>
      <c r="F44" s="548" t="s">
        <v>388</v>
      </c>
      <c r="G44" s="548" t="s">
        <v>389</v>
      </c>
      <c r="H44" s="548" t="s">
        <v>390</v>
      </c>
      <c r="I44" s="548" t="s">
        <v>391</v>
      </c>
      <c r="J44" s="548" t="s">
        <v>392</v>
      </c>
      <c r="K44" s="548" t="s">
        <v>393</v>
      </c>
      <c r="L44" s="548" t="s">
        <v>394</v>
      </c>
      <c r="M44" s="548" t="s">
        <v>395</v>
      </c>
      <c r="N44" s="548" t="s">
        <v>396</v>
      </c>
      <c r="O44" s="548" t="s">
        <v>397</v>
      </c>
      <c r="P44" s="548" t="s">
        <v>398</v>
      </c>
      <c r="Q44" s="548" t="s">
        <v>399</v>
      </c>
      <c r="R44" s="548" t="s">
        <v>400</v>
      </c>
      <c r="S44" s="548" t="s">
        <v>401</v>
      </c>
      <c r="T44" s="548" t="s">
        <v>402</v>
      </c>
      <c r="U44" s="550" t="s">
        <v>403</v>
      </c>
      <c r="V44" s="550" t="s">
        <v>404</v>
      </c>
      <c r="W44" s="550" t="s">
        <v>405</v>
      </c>
      <c r="X44" s="551"/>
      <c r="Y44" s="551"/>
      <c r="Z44" s="551"/>
      <c r="AA44" s="551"/>
      <c r="AB44" s="551"/>
      <c r="AC44" s="551"/>
      <c r="AD44" s="551"/>
      <c r="AE44" s="551"/>
      <c r="AF44" s="551"/>
      <c r="AG44" s="551"/>
    </row>
    <row r="45" spans="1:33" x14ac:dyDescent="0.35">
      <c r="A45" s="551">
        <v>1911</v>
      </c>
      <c r="B45" s="19" t="s">
        <v>406</v>
      </c>
      <c r="C45" s="552">
        <v>4751132</v>
      </c>
      <c r="D45" s="552">
        <v>530227</v>
      </c>
      <c r="E45" s="552">
        <v>513191</v>
      </c>
      <c r="F45" s="552">
        <v>490405</v>
      </c>
      <c r="G45" s="552">
        <v>458225</v>
      </c>
      <c r="H45" s="552">
        <v>418754</v>
      </c>
      <c r="I45" s="552">
        <v>385004</v>
      </c>
      <c r="J45" s="552">
        <v>355172</v>
      </c>
      <c r="K45" s="552">
        <v>321101</v>
      </c>
      <c r="L45" s="552">
        <v>280073</v>
      </c>
      <c r="M45" s="552">
        <v>238233</v>
      </c>
      <c r="N45" s="552">
        <v>206742</v>
      </c>
      <c r="O45" s="552">
        <v>166173</v>
      </c>
      <c r="P45" s="552">
        <v>130818</v>
      </c>
      <c r="Q45" s="552">
        <v>102829</v>
      </c>
      <c r="R45" s="552">
        <v>79886</v>
      </c>
      <c r="S45" s="552">
        <v>45123</v>
      </c>
      <c r="T45" s="552">
        <v>19886</v>
      </c>
      <c r="U45" s="552">
        <v>9290</v>
      </c>
      <c r="V45" s="553" t="s">
        <v>407</v>
      </c>
      <c r="W45" s="553" t="s">
        <v>407</v>
      </c>
      <c r="X45" s="551"/>
      <c r="Y45" s="551"/>
      <c r="Z45" s="551"/>
      <c r="AA45" s="551"/>
      <c r="AB45" s="551"/>
      <c r="AC45" s="551"/>
      <c r="AD45" s="551"/>
      <c r="AE45" s="551"/>
      <c r="AF45" s="551"/>
      <c r="AG45" s="551"/>
    </row>
    <row r="46" spans="1:33" x14ac:dyDescent="0.35">
      <c r="A46" s="551">
        <v>1912</v>
      </c>
      <c r="B46" s="19" t="s">
        <v>406</v>
      </c>
      <c r="C46" s="552">
        <v>4741477</v>
      </c>
      <c r="D46" s="552">
        <v>522314</v>
      </c>
      <c r="E46" s="552">
        <v>509500</v>
      </c>
      <c r="F46" s="552">
        <v>484899</v>
      </c>
      <c r="G46" s="552">
        <v>454368</v>
      </c>
      <c r="H46" s="552">
        <v>412871</v>
      </c>
      <c r="I46" s="552">
        <v>379974</v>
      </c>
      <c r="J46" s="552">
        <v>353519</v>
      </c>
      <c r="K46" s="552">
        <v>323733</v>
      </c>
      <c r="L46" s="552">
        <v>285269</v>
      </c>
      <c r="M46" s="552">
        <v>241050</v>
      </c>
      <c r="N46" s="552">
        <v>209836</v>
      </c>
      <c r="O46" s="552">
        <v>171203</v>
      </c>
      <c r="P46" s="552">
        <v>134732</v>
      </c>
      <c r="Q46" s="552">
        <v>103387</v>
      </c>
      <c r="R46" s="552">
        <v>79325</v>
      </c>
      <c r="S46" s="552">
        <v>45857</v>
      </c>
      <c r="T46" s="552">
        <v>20232</v>
      </c>
      <c r="U46" s="552">
        <v>9408</v>
      </c>
      <c r="V46" s="553" t="s">
        <v>407</v>
      </c>
      <c r="W46" s="553" t="s">
        <v>407</v>
      </c>
      <c r="X46" s="551"/>
      <c r="Y46" s="551"/>
      <c r="Z46" s="551"/>
      <c r="AA46" s="551"/>
      <c r="AB46" s="551"/>
      <c r="AC46" s="551"/>
      <c r="AD46" s="551"/>
      <c r="AE46" s="551"/>
      <c r="AF46" s="551"/>
      <c r="AG46" s="551"/>
    </row>
    <row r="47" spans="1:33" x14ac:dyDescent="0.35">
      <c r="A47" s="551">
        <v>1913</v>
      </c>
      <c r="B47" s="19" t="s">
        <v>406</v>
      </c>
      <c r="C47" s="552">
        <v>4728932</v>
      </c>
      <c r="D47" s="552">
        <v>518111</v>
      </c>
      <c r="E47" s="552">
        <v>505260</v>
      </c>
      <c r="F47" s="552">
        <v>479772</v>
      </c>
      <c r="G47" s="552">
        <v>450517</v>
      </c>
      <c r="H47" s="552">
        <v>406780</v>
      </c>
      <c r="I47" s="552">
        <v>373154</v>
      </c>
      <c r="J47" s="552">
        <v>350110</v>
      </c>
      <c r="K47" s="552">
        <v>325030</v>
      </c>
      <c r="L47" s="552">
        <v>289598</v>
      </c>
      <c r="M47" s="552">
        <v>245091</v>
      </c>
      <c r="N47" s="552">
        <v>211570</v>
      </c>
      <c r="O47" s="552">
        <v>176060</v>
      </c>
      <c r="P47" s="552">
        <v>138700</v>
      </c>
      <c r="Q47" s="552">
        <v>104855</v>
      </c>
      <c r="R47" s="552">
        <v>78837</v>
      </c>
      <c r="S47" s="552">
        <v>45775</v>
      </c>
      <c r="T47" s="552">
        <v>20501</v>
      </c>
      <c r="U47" s="552">
        <v>9211</v>
      </c>
      <c r="V47" s="553" t="s">
        <v>407</v>
      </c>
      <c r="W47" s="553" t="s">
        <v>407</v>
      </c>
      <c r="X47" s="551"/>
      <c r="Y47" s="551"/>
      <c r="Z47" s="551"/>
      <c r="AA47" s="551"/>
      <c r="AB47" s="551"/>
      <c r="AC47" s="551"/>
      <c r="AD47" s="551"/>
      <c r="AE47" s="551"/>
      <c r="AF47" s="551"/>
      <c r="AG47" s="551"/>
    </row>
    <row r="48" spans="1:33" x14ac:dyDescent="0.35">
      <c r="A48" s="551">
        <v>1914</v>
      </c>
      <c r="B48" s="19" t="s">
        <v>406</v>
      </c>
      <c r="C48" s="552">
        <v>4748167</v>
      </c>
      <c r="D48" s="552">
        <v>515805</v>
      </c>
      <c r="E48" s="552">
        <v>503136</v>
      </c>
      <c r="F48" s="552">
        <v>481104</v>
      </c>
      <c r="G48" s="552">
        <v>450888</v>
      </c>
      <c r="H48" s="552">
        <v>408853</v>
      </c>
      <c r="I48" s="552">
        <v>370966</v>
      </c>
      <c r="J48" s="552">
        <v>349516</v>
      </c>
      <c r="K48" s="552">
        <v>326274</v>
      </c>
      <c r="L48" s="552">
        <v>294726</v>
      </c>
      <c r="M48" s="552">
        <v>250123</v>
      </c>
      <c r="N48" s="552">
        <v>213690</v>
      </c>
      <c r="O48" s="552">
        <v>179598</v>
      </c>
      <c r="P48" s="552">
        <v>142361</v>
      </c>
      <c r="Q48" s="552">
        <v>106199</v>
      </c>
      <c r="R48" s="552">
        <v>78446</v>
      </c>
      <c r="S48" s="552">
        <v>46259</v>
      </c>
      <c r="T48" s="552">
        <v>20846</v>
      </c>
      <c r="U48" s="552">
        <v>9377</v>
      </c>
      <c r="V48" s="553" t="s">
        <v>407</v>
      </c>
      <c r="W48" s="553" t="s">
        <v>407</v>
      </c>
      <c r="X48" s="551"/>
      <c r="Y48" s="551"/>
      <c r="Z48" s="551"/>
      <c r="AA48" s="551"/>
      <c r="AB48" s="551"/>
      <c r="AC48" s="551"/>
      <c r="AD48" s="551"/>
      <c r="AE48" s="551"/>
      <c r="AF48" s="551"/>
      <c r="AG48" s="551"/>
    </row>
    <row r="49" spans="1:33" x14ac:dyDescent="0.35">
      <c r="A49" s="551">
        <v>1915</v>
      </c>
      <c r="B49" s="19" t="s">
        <v>406</v>
      </c>
      <c r="C49" s="552">
        <v>4771798</v>
      </c>
      <c r="D49" s="552">
        <v>513114</v>
      </c>
      <c r="E49" s="552">
        <v>501981</v>
      </c>
      <c r="F49" s="552">
        <v>486050</v>
      </c>
      <c r="G49" s="552">
        <v>453187</v>
      </c>
      <c r="H49" s="552">
        <v>410277</v>
      </c>
      <c r="I49" s="552">
        <v>369685</v>
      </c>
      <c r="J49" s="552">
        <v>349029</v>
      </c>
      <c r="K49" s="552">
        <v>327108</v>
      </c>
      <c r="L49" s="552">
        <v>299443</v>
      </c>
      <c r="M49" s="552">
        <v>255375</v>
      </c>
      <c r="N49" s="552">
        <v>216293</v>
      </c>
      <c r="O49" s="552">
        <v>182318</v>
      </c>
      <c r="P49" s="552">
        <v>145083</v>
      </c>
      <c r="Q49" s="552">
        <v>107339</v>
      </c>
      <c r="R49" s="552">
        <v>77975</v>
      </c>
      <c r="S49" s="552">
        <v>46667</v>
      </c>
      <c r="T49" s="552">
        <v>21439</v>
      </c>
      <c r="U49" s="552">
        <v>9435</v>
      </c>
      <c r="V49" s="553" t="s">
        <v>407</v>
      </c>
      <c r="W49" s="553" t="s">
        <v>407</v>
      </c>
      <c r="X49" s="551"/>
      <c r="Y49" s="551"/>
      <c r="Z49" s="551"/>
      <c r="AA49" s="551"/>
      <c r="AB49" s="551"/>
      <c r="AC49" s="551"/>
      <c r="AD49" s="551"/>
      <c r="AE49" s="551"/>
      <c r="AF49" s="551"/>
      <c r="AG49" s="551"/>
    </row>
    <row r="50" spans="1:33" x14ac:dyDescent="0.35">
      <c r="A50" s="551">
        <v>1916</v>
      </c>
      <c r="B50" s="19" t="s">
        <v>406</v>
      </c>
      <c r="C50" s="552">
        <v>4794662</v>
      </c>
      <c r="D50" s="552">
        <v>502998</v>
      </c>
      <c r="E50" s="552">
        <v>500665</v>
      </c>
      <c r="F50" s="552">
        <v>490631</v>
      </c>
      <c r="G50" s="552">
        <v>456652</v>
      </c>
      <c r="H50" s="552">
        <v>412392</v>
      </c>
      <c r="I50" s="552">
        <v>369992</v>
      </c>
      <c r="J50" s="552">
        <v>348574</v>
      </c>
      <c r="K50" s="552">
        <v>328095</v>
      </c>
      <c r="L50" s="552">
        <v>304238</v>
      </c>
      <c r="M50" s="552">
        <v>262090</v>
      </c>
      <c r="N50" s="552">
        <v>219851</v>
      </c>
      <c r="O50" s="552">
        <v>185139</v>
      </c>
      <c r="P50" s="552">
        <v>147612</v>
      </c>
      <c r="Q50" s="552">
        <v>109534</v>
      </c>
      <c r="R50" s="552">
        <v>77241</v>
      </c>
      <c r="S50" s="552">
        <v>47410</v>
      </c>
      <c r="T50" s="552">
        <v>22124</v>
      </c>
      <c r="U50" s="552">
        <v>9424</v>
      </c>
      <c r="V50" s="553" t="s">
        <v>407</v>
      </c>
      <c r="W50" s="553" t="s">
        <v>407</v>
      </c>
      <c r="X50" s="551"/>
      <c r="Y50" s="551"/>
      <c r="Z50" s="551"/>
      <c r="AA50" s="551"/>
      <c r="AB50" s="551"/>
      <c r="AC50" s="551"/>
      <c r="AD50" s="551"/>
      <c r="AE50" s="551"/>
      <c r="AF50" s="551"/>
      <c r="AG50" s="551"/>
    </row>
    <row r="51" spans="1:33" x14ac:dyDescent="0.35">
      <c r="A51" s="551">
        <v>1917</v>
      </c>
      <c r="B51" s="19" t="s">
        <v>406</v>
      </c>
      <c r="C51" s="552">
        <v>4812829</v>
      </c>
      <c r="D51" s="552">
        <v>489113</v>
      </c>
      <c r="E51" s="552">
        <v>498191</v>
      </c>
      <c r="F51" s="552">
        <v>493865</v>
      </c>
      <c r="G51" s="552">
        <v>460912</v>
      </c>
      <c r="H51" s="552">
        <v>414492</v>
      </c>
      <c r="I51" s="552">
        <v>371126</v>
      </c>
      <c r="J51" s="552">
        <v>348039</v>
      </c>
      <c r="K51" s="552">
        <v>328914</v>
      </c>
      <c r="L51" s="552">
        <v>307758</v>
      </c>
      <c r="M51" s="552">
        <v>268948</v>
      </c>
      <c r="N51" s="552">
        <v>224470</v>
      </c>
      <c r="O51" s="552">
        <v>188223</v>
      </c>
      <c r="P51" s="552">
        <v>150113</v>
      </c>
      <c r="Q51" s="552">
        <v>111645</v>
      </c>
      <c r="R51" s="552">
        <v>77214</v>
      </c>
      <c r="S51" s="552">
        <v>47362</v>
      </c>
      <c r="T51" s="552">
        <v>22896</v>
      </c>
      <c r="U51" s="552">
        <v>9548</v>
      </c>
      <c r="V51" s="553" t="s">
        <v>407</v>
      </c>
      <c r="W51" s="553" t="s">
        <v>407</v>
      </c>
      <c r="X51" s="551"/>
      <c r="Y51" s="551"/>
      <c r="Z51" s="551"/>
      <c r="AA51" s="551"/>
      <c r="AB51" s="551"/>
      <c r="AC51" s="551"/>
      <c r="AD51" s="551"/>
      <c r="AE51" s="551"/>
      <c r="AF51" s="551"/>
      <c r="AG51" s="551"/>
    </row>
    <row r="52" spans="1:33" x14ac:dyDescent="0.35">
      <c r="A52" s="551">
        <v>1918</v>
      </c>
      <c r="B52" s="19" t="s">
        <v>406</v>
      </c>
      <c r="C52" s="552">
        <v>4821679</v>
      </c>
      <c r="D52" s="552">
        <v>468283</v>
      </c>
      <c r="E52" s="552">
        <v>496948</v>
      </c>
      <c r="F52" s="552">
        <v>495701</v>
      </c>
      <c r="G52" s="552">
        <v>465331</v>
      </c>
      <c r="H52" s="552">
        <v>413444</v>
      </c>
      <c r="I52" s="552">
        <v>370585</v>
      </c>
      <c r="J52" s="552">
        <v>346221</v>
      </c>
      <c r="K52" s="552">
        <v>329102</v>
      </c>
      <c r="L52" s="552">
        <v>310106</v>
      </c>
      <c r="M52" s="552">
        <v>276003</v>
      </c>
      <c r="N52" s="552">
        <v>229897</v>
      </c>
      <c r="O52" s="552">
        <v>191717</v>
      </c>
      <c r="P52" s="552">
        <v>153404</v>
      </c>
      <c r="Q52" s="552">
        <v>114494</v>
      </c>
      <c r="R52" s="552">
        <v>78321</v>
      </c>
      <c r="S52" s="552">
        <v>47949</v>
      </c>
      <c r="T52" s="552">
        <v>24013</v>
      </c>
      <c r="U52" s="552">
        <v>10160</v>
      </c>
      <c r="V52" s="553" t="s">
        <v>407</v>
      </c>
      <c r="W52" s="553" t="s">
        <v>407</v>
      </c>
      <c r="X52" s="551"/>
      <c r="Y52" s="551"/>
      <c r="Z52" s="551"/>
      <c r="AA52" s="551"/>
      <c r="AB52" s="551"/>
      <c r="AC52" s="551"/>
      <c r="AD52" s="551"/>
      <c r="AE52" s="551"/>
      <c r="AF52" s="551"/>
      <c r="AG52" s="551"/>
    </row>
    <row r="53" spans="1:33" x14ac:dyDescent="0.35">
      <c r="A53" s="551">
        <v>1919</v>
      </c>
      <c r="B53" s="19" t="s">
        <v>406</v>
      </c>
      <c r="C53" s="552">
        <v>4822993</v>
      </c>
      <c r="D53" s="552">
        <v>443788</v>
      </c>
      <c r="E53" s="552">
        <v>494480</v>
      </c>
      <c r="F53" s="552">
        <v>495393</v>
      </c>
      <c r="G53" s="552">
        <v>470824</v>
      </c>
      <c r="H53" s="552">
        <v>418294</v>
      </c>
      <c r="I53" s="552">
        <v>372562</v>
      </c>
      <c r="J53" s="552">
        <v>345150</v>
      </c>
      <c r="K53" s="552">
        <v>329137</v>
      </c>
      <c r="L53" s="552">
        <v>310568</v>
      </c>
      <c r="M53" s="552">
        <v>281006</v>
      </c>
      <c r="N53" s="552">
        <v>234339</v>
      </c>
      <c r="O53" s="552">
        <v>194179</v>
      </c>
      <c r="P53" s="552">
        <v>155564</v>
      </c>
      <c r="Q53" s="552">
        <v>116266</v>
      </c>
      <c r="R53" s="552">
        <v>78791</v>
      </c>
      <c r="S53" s="552">
        <v>47615</v>
      </c>
      <c r="T53" s="552">
        <v>24521</v>
      </c>
      <c r="U53" s="552">
        <v>10516</v>
      </c>
      <c r="V53" s="553" t="s">
        <v>407</v>
      </c>
      <c r="W53" s="553" t="s">
        <v>407</v>
      </c>
      <c r="X53" s="551"/>
      <c r="Y53" s="551"/>
      <c r="Z53" s="551"/>
      <c r="AA53" s="551"/>
      <c r="AB53" s="551"/>
      <c r="AC53" s="551"/>
      <c r="AD53" s="551"/>
      <c r="AE53" s="551"/>
      <c r="AF53" s="551"/>
      <c r="AG53" s="551"/>
    </row>
    <row r="54" spans="1:33" x14ac:dyDescent="0.35">
      <c r="A54" s="551">
        <v>1920</v>
      </c>
      <c r="B54" s="19" t="s">
        <v>406</v>
      </c>
      <c r="C54" s="552">
        <v>4866866</v>
      </c>
      <c r="D54" s="552">
        <v>459320</v>
      </c>
      <c r="E54" s="552">
        <v>490688</v>
      </c>
      <c r="F54" s="552">
        <v>493461</v>
      </c>
      <c r="G54" s="552">
        <v>475388</v>
      </c>
      <c r="H54" s="552">
        <v>425061</v>
      </c>
      <c r="I54" s="552">
        <v>375045</v>
      </c>
      <c r="J54" s="552">
        <v>343003</v>
      </c>
      <c r="K54" s="552">
        <v>327861</v>
      </c>
      <c r="L54" s="552">
        <v>310620</v>
      </c>
      <c r="M54" s="552">
        <v>285806</v>
      </c>
      <c r="N54" s="552">
        <v>239748</v>
      </c>
      <c r="O54" s="552">
        <v>197354</v>
      </c>
      <c r="P54" s="552">
        <v>158898</v>
      </c>
      <c r="Q54" s="552">
        <v>119538</v>
      </c>
      <c r="R54" s="552">
        <v>81064</v>
      </c>
      <c r="S54" s="552">
        <v>48460</v>
      </c>
      <c r="T54" s="552">
        <v>24623</v>
      </c>
      <c r="U54" s="552">
        <v>10928</v>
      </c>
      <c r="V54" s="553" t="s">
        <v>407</v>
      </c>
      <c r="W54" s="553" t="s">
        <v>407</v>
      </c>
      <c r="X54" s="551"/>
      <c r="Y54" s="551"/>
      <c r="Z54" s="551"/>
      <c r="AA54" s="551"/>
      <c r="AB54" s="551"/>
      <c r="AC54" s="551"/>
      <c r="AD54" s="551"/>
      <c r="AE54" s="551"/>
      <c r="AF54" s="551"/>
      <c r="AG54" s="551"/>
    </row>
    <row r="55" spans="1:33" x14ac:dyDescent="0.35">
      <c r="A55" s="551">
        <v>1921</v>
      </c>
      <c r="B55" s="19" t="s">
        <v>406</v>
      </c>
      <c r="C55" s="552">
        <v>4882497</v>
      </c>
      <c r="D55" s="552">
        <v>474179</v>
      </c>
      <c r="E55" s="552">
        <v>476780</v>
      </c>
      <c r="F55" s="552">
        <v>490396</v>
      </c>
      <c r="G55" s="552">
        <v>477086</v>
      </c>
      <c r="H55" s="552">
        <v>428999</v>
      </c>
      <c r="I55" s="552">
        <v>376356</v>
      </c>
      <c r="J55" s="552">
        <v>338462</v>
      </c>
      <c r="K55" s="552">
        <v>323708</v>
      </c>
      <c r="L55" s="552">
        <v>308722</v>
      </c>
      <c r="M55" s="552">
        <v>289065</v>
      </c>
      <c r="N55" s="552">
        <v>244904</v>
      </c>
      <c r="O55" s="552">
        <v>200627</v>
      </c>
      <c r="P55" s="552">
        <v>161338</v>
      </c>
      <c r="Q55" s="552">
        <v>123172</v>
      </c>
      <c r="R55" s="552">
        <v>83591</v>
      </c>
      <c r="S55" s="552">
        <v>49830</v>
      </c>
      <c r="T55" s="552">
        <v>24580</v>
      </c>
      <c r="U55" s="552">
        <v>10702</v>
      </c>
      <c r="V55" s="553" t="s">
        <v>407</v>
      </c>
      <c r="W55" s="553" t="s">
        <v>407</v>
      </c>
      <c r="X55" s="551"/>
      <c r="Y55" s="551"/>
      <c r="Z55" s="551"/>
      <c r="AA55" s="551"/>
      <c r="AB55" s="551"/>
      <c r="AC55" s="551"/>
      <c r="AD55" s="551"/>
      <c r="AE55" s="551"/>
      <c r="AF55" s="551"/>
      <c r="AG55" s="551"/>
    </row>
    <row r="56" spans="1:33" x14ac:dyDescent="0.35">
      <c r="A56" s="551">
        <v>1922</v>
      </c>
      <c r="B56" s="19" t="s">
        <v>406</v>
      </c>
      <c r="C56" s="552">
        <v>4897980</v>
      </c>
      <c r="D56" s="552">
        <v>492807</v>
      </c>
      <c r="E56" s="552">
        <v>461667</v>
      </c>
      <c r="F56" s="552">
        <v>486735</v>
      </c>
      <c r="G56" s="552">
        <v>475782</v>
      </c>
      <c r="H56" s="552">
        <v>435236</v>
      </c>
      <c r="I56" s="552">
        <v>376184</v>
      </c>
      <c r="J56" s="552">
        <v>336127</v>
      </c>
      <c r="K56" s="552">
        <v>320154</v>
      </c>
      <c r="L56" s="552">
        <v>309059</v>
      </c>
      <c r="M56" s="552">
        <v>289911</v>
      </c>
      <c r="N56" s="552">
        <v>248639</v>
      </c>
      <c r="O56" s="552">
        <v>204897</v>
      </c>
      <c r="P56" s="552">
        <v>162332</v>
      </c>
      <c r="Q56" s="552">
        <v>126038</v>
      </c>
      <c r="R56" s="552">
        <v>86594</v>
      </c>
      <c r="S56" s="552">
        <v>49950</v>
      </c>
      <c r="T56" s="552">
        <v>24680</v>
      </c>
      <c r="U56" s="552">
        <v>11188</v>
      </c>
      <c r="V56" s="553" t="s">
        <v>407</v>
      </c>
      <c r="W56" s="553" t="s">
        <v>407</v>
      </c>
      <c r="X56" s="551"/>
      <c r="Y56" s="551"/>
      <c r="Z56" s="551"/>
      <c r="AA56" s="551"/>
      <c r="AB56" s="551"/>
      <c r="AC56" s="551"/>
      <c r="AD56" s="551"/>
      <c r="AE56" s="551"/>
      <c r="AF56" s="551"/>
      <c r="AG56" s="551"/>
    </row>
    <row r="57" spans="1:33" x14ac:dyDescent="0.35">
      <c r="A57" s="551">
        <v>1923</v>
      </c>
      <c r="B57" s="19" t="s">
        <v>406</v>
      </c>
      <c r="C57" s="552">
        <v>4888148</v>
      </c>
      <c r="D57" s="552">
        <v>508336</v>
      </c>
      <c r="E57" s="552">
        <v>437875</v>
      </c>
      <c r="F57" s="552">
        <v>480504</v>
      </c>
      <c r="G57" s="552">
        <v>471838</v>
      </c>
      <c r="H57" s="552">
        <v>441686</v>
      </c>
      <c r="I57" s="552">
        <v>372406</v>
      </c>
      <c r="J57" s="552">
        <v>337453</v>
      </c>
      <c r="K57" s="552">
        <v>314370</v>
      </c>
      <c r="L57" s="552">
        <v>308764</v>
      </c>
      <c r="M57" s="552">
        <v>286060</v>
      </c>
      <c r="N57" s="552">
        <v>256233</v>
      </c>
      <c r="O57" s="552">
        <v>205523</v>
      </c>
      <c r="P57" s="552">
        <v>165392</v>
      </c>
      <c r="Q57" s="552">
        <v>127234</v>
      </c>
      <c r="R57" s="552">
        <v>88780</v>
      </c>
      <c r="S57" s="552">
        <v>49057</v>
      </c>
      <c r="T57" s="552">
        <v>25500</v>
      </c>
      <c r="U57" s="552">
        <v>11137</v>
      </c>
      <c r="V57" s="553" t="s">
        <v>407</v>
      </c>
      <c r="W57" s="553" t="s">
        <v>407</v>
      </c>
      <c r="X57" s="551"/>
      <c r="Y57" s="551"/>
      <c r="Z57" s="551"/>
      <c r="AA57" s="551"/>
      <c r="AB57" s="551"/>
      <c r="AC57" s="551"/>
      <c r="AD57" s="551"/>
      <c r="AE57" s="551"/>
      <c r="AF57" s="551"/>
      <c r="AG57" s="551"/>
    </row>
    <row r="58" spans="1:33" x14ac:dyDescent="0.35">
      <c r="A58" s="551">
        <v>1924</v>
      </c>
      <c r="B58" s="19" t="s">
        <v>406</v>
      </c>
      <c r="C58" s="552">
        <v>4862210</v>
      </c>
      <c r="D58" s="552">
        <v>525327</v>
      </c>
      <c r="E58" s="552">
        <v>414994</v>
      </c>
      <c r="F58" s="552">
        <v>474323</v>
      </c>
      <c r="G58" s="552">
        <v>466124</v>
      </c>
      <c r="H58" s="552">
        <v>438509</v>
      </c>
      <c r="I58" s="552">
        <v>366571</v>
      </c>
      <c r="J58" s="552">
        <v>329833</v>
      </c>
      <c r="K58" s="552">
        <v>312457</v>
      </c>
      <c r="L58" s="552">
        <v>300001</v>
      </c>
      <c r="M58" s="552">
        <v>289344</v>
      </c>
      <c r="N58" s="552">
        <v>257171</v>
      </c>
      <c r="O58" s="552">
        <v>211084</v>
      </c>
      <c r="P58" s="552">
        <v>167472</v>
      </c>
      <c r="Q58" s="552">
        <v>131856</v>
      </c>
      <c r="R58" s="552">
        <v>88523</v>
      </c>
      <c r="S58" s="552">
        <v>50566</v>
      </c>
      <c r="T58" s="552">
        <v>26641</v>
      </c>
      <c r="U58" s="552">
        <v>11414</v>
      </c>
      <c r="V58" s="553" t="s">
        <v>407</v>
      </c>
      <c r="W58" s="553" t="s">
        <v>407</v>
      </c>
      <c r="X58" s="551"/>
      <c r="Y58" s="551"/>
      <c r="Z58" s="551"/>
      <c r="AA58" s="551"/>
      <c r="AB58" s="551"/>
      <c r="AC58" s="551"/>
      <c r="AD58" s="551"/>
      <c r="AE58" s="551"/>
      <c r="AF58" s="551"/>
      <c r="AG58" s="551"/>
    </row>
    <row r="59" spans="1:33" x14ac:dyDescent="0.35">
      <c r="A59" s="551">
        <v>1925</v>
      </c>
      <c r="B59" s="19" t="s">
        <v>406</v>
      </c>
      <c r="C59" s="552">
        <v>4867129</v>
      </c>
      <c r="D59" s="552">
        <v>502629</v>
      </c>
      <c r="E59" s="552">
        <v>428036</v>
      </c>
      <c r="F59" s="552">
        <v>470011</v>
      </c>
      <c r="G59" s="552">
        <v>464563</v>
      </c>
      <c r="H59" s="552">
        <v>438831</v>
      </c>
      <c r="I59" s="552">
        <v>371289</v>
      </c>
      <c r="J59" s="552">
        <v>337424</v>
      </c>
      <c r="K59" s="552">
        <v>306454</v>
      </c>
      <c r="L59" s="552">
        <v>301828</v>
      </c>
      <c r="M59" s="552">
        <v>286696</v>
      </c>
      <c r="N59" s="552">
        <v>265132</v>
      </c>
      <c r="O59" s="552">
        <v>210019</v>
      </c>
      <c r="P59" s="552">
        <v>173420</v>
      </c>
      <c r="Q59" s="552">
        <v>132023</v>
      </c>
      <c r="R59" s="552">
        <v>91392</v>
      </c>
      <c r="S59" s="552">
        <v>49168</v>
      </c>
      <c r="T59" s="552">
        <v>27482</v>
      </c>
      <c r="U59" s="552">
        <v>10732</v>
      </c>
      <c r="V59" s="553" t="s">
        <v>407</v>
      </c>
      <c r="W59" s="553" t="s">
        <v>407</v>
      </c>
      <c r="X59" s="551"/>
      <c r="Y59" s="551"/>
      <c r="Z59" s="551"/>
      <c r="AA59" s="551"/>
      <c r="AB59" s="551"/>
      <c r="AC59" s="551"/>
      <c r="AD59" s="551"/>
      <c r="AE59" s="551"/>
      <c r="AF59" s="551"/>
      <c r="AG59" s="551"/>
    </row>
    <row r="60" spans="1:33" x14ac:dyDescent="0.35">
      <c r="A60" s="551">
        <v>1926</v>
      </c>
      <c r="B60" s="19" t="s">
        <v>406</v>
      </c>
      <c r="C60" s="552">
        <v>4864259</v>
      </c>
      <c r="D60" s="552">
        <v>488543</v>
      </c>
      <c r="E60" s="552">
        <v>439005</v>
      </c>
      <c r="F60" s="552">
        <v>457591</v>
      </c>
      <c r="G60" s="552">
        <v>461693</v>
      </c>
      <c r="H60" s="552">
        <v>439195</v>
      </c>
      <c r="I60" s="552">
        <v>375081</v>
      </c>
      <c r="J60" s="552">
        <v>333891</v>
      </c>
      <c r="K60" s="552">
        <v>308924</v>
      </c>
      <c r="L60" s="552">
        <v>296453</v>
      </c>
      <c r="M60" s="552">
        <v>288037</v>
      </c>
      <c r="N60" s="552">
        <v>264553</v>
      </c>
      <c r="O60" s="552">
        <v>216614</v>
      </c>
      <c r="P60" s="552">
        <v>173429</v>
      </c>
      <c r="Q60" s="552">
        <v>137023</v>
      </c>
      <c r="R60" s="552">
        <v>94045</v>
      </c>
      <c r="S60" s="552">
        <v>51350</v>
      </c>
      <c r="T60" s="552">
        <v>27588</v>
      </c>
      <c r="U60" s="552">
        <v>11244</v>
      </c>
      <c r="V60" s="553" t="s">
        <v>407</v>
      </c>
      <c r="W60" s="553" t="s">
        <v>407</v>
      </c>
      <c r="X60" s="551"/>
      <c r="Y60" s="551"/>
      <c r="Z60" s="551"/>
      <c r="AA60" s="551"/>
      <c r="AB60" s="551"/>
      <c r="AC60" s="551"/>
      <c r="AD60" s="551"/>
      <c r="AE60" s="551"/>
      <c r="AF60" s="551"/>
      <c r="AG60" s="551"/>
    </row>
    <row r="61" spans="1:33" x14ac:dyDescent="0.35">
      <c r="A61" s="551">
        <v>1927</v>
      </c>
      <c r="B61" s="19" t="s">
        <v>406</v>
      </c>
      <c r="C61" s="552">
        <v>4853098</v>
      </c>
      <c r="D61" s="552">
        <v>471719</v>
      </c>
      <c r="E61" s="552">
        <v>456818</v>
      </c>
      <c r="F61" s="552">
        <v>441378</v>
      </c>
      <c r="G61" s="552">
        <v>457525</v>
      </c>
      <c r="H61" s="552">
        <v>434887</v>
      </c>
      <c r="I61" s="552">
        <v>377288</v>
      </c>
      <c r="J61" s="552">
        <v>334964</v>
      </c>
      <c r="K61" s="552">
        <v>308612</v>
      </c>
      <c r="L61" s="552">
        <v>291844</v>
      </c>
      <c r="M61" s="552">
        <v>287832</v>
      </c>
      <c r="N61" s="552">
        <v>265156</v>
      </c>
      <c r="O61" s="552">
        <v>219921</v>
      </c>
      <c r="P61" s="552">
        <v>177816</v>
      </c>
      <c r="Q61" s="552">
        <v>138318</v>
      </c>
      <c r="R61" s="552">
        <v>96593</v>
      </c>
      <c r="S61" s="552">
        <v>53057</v>
      </c>
      <c r="T61" s="552">
        <v>28233</v>
      </c>
      <c r="U61" s="552">
        <v>11137</v>
      </c>
      <c r="V61" s="553" t="s">
        <v>407</v>
      </c>
      <c r="W61" s="553" t="s">
        <v>407</v>
      </c>
      <c r="X61" s="551"/>
      <c r="Y61" s="551"/>
      <c r="Z61" s="551"/>
      <c r="AA61" s="551"/>
      <c r="AB61" s="551"/>
      <c r="AC61" s="551"/>
      <c r="AD61" s="551"/>
      <c r="AE61" s="551"/>
      <c r="AF61" s="551"/>
      <c r="AG61" s="551"/>
    </row>
    <row r="62" spans="1:33" x14ac:dyDescent="0.35">
      <c r="A62" s="551">
        <v>1928</v>
      </c>
      <c r="B62" s="19" t="s">
        <v>406</v>
      </c>
      <c r="C62" s="552">
        <v>4847851</v>
      </c>
      <c r="D62" s="552">
        <v>456877</v>
      </c>
      <c r="E62" s="552">
        <v>477248</v>
      </c>
      <c r="F62" s="552">
        <v>418867</v>
      </c>
      <c r="G62" s="552">
        <v>453883</v>
      </c>
      <c r="H62" s="552">
        <v>430058</v>
      </c>
      <c r="I62" s="552">
        <v>383992</v>
      </c>
      <c r="J62" s="552">
        <v>334042</v>
      </c>
      <c r="K62" s="552">
        <v>311162</v>
      </c>
      <c r="L62" s="552">
        <v>288452</v>
      </c>
      <c r="M62" s="552">
        <v>288170</v>
      </c>
      <c r="N62" s="552">
        <v>262996</v>
      </c>
      <c r="O62" s="552">
        <v>226320</v>
      </c>
      <c r="P62" s="552">
        <v>181040</v>
      </c>
      <c r="Q62" s="552">
        <v>141181</v>
      </c>
      <c r="R62" s="552">
        <v>99040</v>
      </c>
      <c r="S62" s="552">
        <v>55171</v>
      </c>
      <c r="T62" s="552">
        <v>28114</v>
      </c>
      <c r="U62" s="552">
        <v>11238</v>
      </c>
      <c r="V62" s="553" t="s">
        <v>407</v>
      </c>
      <c r="W62" s="553" t="s">
        <v>407</v>
      </c>
      <c r="X62" s="551"/>
      <c r="Y62" s="551"/>
      <c r="Z62" s="551"/>
      <c r="AA62" s="551"/>
      <c r="AB62" s="551"/>
      <c r="AC62" s="551"/>
      <c r="AD62" s="551"/>
      <c r="AE62" s="551"/>
      <c r="AF62" s="551"/>
      <c r="AG62" s="551"/>
    </row>
    <row r="63" spans="1:33" x14ac:dyDescent="0.35">
      <c r="A63" s="551">
        <v>1929</v>
      </c>
      <c r="B63" s="19" t="s">
        <v>406</v>
      </c>
      <c r="C63" s="552">
        <v>4832226</v>
      </c>
      <c r="D63" s="552">
        <v>437180</v>
      </c>
      <c r="E63" s="552">
        <v>487271</v>
      </c>
      <c r="F63" s="552">
        <v>397711</v>
      </c>
      <c r="G63" s="552">
        <v>450080</v>
      </c>
      <c r="H63" s="552">
        <v>429768</v>
      </c>
      <c r="I63" s="552">
        <v>386751</v>
      </c>
      <c r="J63" s="552">
        <v>336758</v>
      </c>
      <c r="K63" s="552">
        <v>310013</v>
      </c>
      <c r="L63" s="552">
        <v>291848</v>
      </c>
      <c r="M63" s="552">
        <v>283708</v>
      </c>
      <c r="N63" s="552">
        <v>266290</v>
      </c>
      <c r="O63" s="552">
        <v>228672</v>
      </c>
      <c r="P63" s="552">
        <v>185722</v>
      </c>
      <c r="Q63" s="552">
        <v>143002</v>
      </c>
      <c r="R63" s="552">
        <v>102592</v>
      </c>
      <c r="S63" s="552">
        <v>55497</v>
      </c>
      <c r="T63" s="552">
        <v>28026</v>
      </c>
      <c r="U63" s="552">
        <v>11337</v>
      </c>
      <c r="V63" s="553" t="s">
        <v>407</v>
      </c>
      <c r="W63" s="553" t="s">
        <v>407</v>
      </c>
      <c r="X63" s="551"/>
      <c r="Y63" s="551"/>
      <c r="Z63" s="551"/>
      <c r="AA63" s="551"/>
      <c r="AB63" s="551"/>
      <c r="AC63" s="551"/>
      <c r="AD63" s="551"/>
      <c r="AE63" s="551"/>
      <c r="AF63" s="551"/>
      <c r="AG63" s="551"/>
    </row>
    <row r="64" spans="1:33" x14ac:dyDescent="0.35">
      <c r="A64" s="551">
        <v>1930</v>
      </c>
      <c r="B64" s="19" t="s">
        <v>406</v>
      </c>
      <c r="C64" s="552">
        <v>4828004</v>
      </c>
      <c r="D64" s="552">
        <v>429862</v>
      </c>
      <c r="E64" s="552">
        <v>466049</v>
      </c>
      <c r="F64" s="552">
        <v>411872</v>
      </c>
      <c r="G64" s="552">
        <v>446918</v>
      </c>
      <c r="H64" s="552">
        <v>425650</v>
      </c>
      <c r="I64" s="552">
        <v>388008</v>
      </c>
      <c r="J64" s="552">
        <v>339623</v>
      </c>
      <c r="K64" s="552">
        <v>316123</v>
      </c>
      <c r="L64" s="552">
        <v>287651</v>
      </c>
      <c r="M64" s="552">
        <v>285883</v>
      </c>
      <c r="N64" s="552">
        <v>263903</v>
      </c>
      <c r="O64" s="552">
        <v>234304</v>
      </c>
      <c r="P64" s="552">
        <v>185527</v>
      </c>
      <c r="Q64" s="552">
        <v>147694</v>
      </c>
      <c r="R64" s="552">
        <v>104289</v>
      </c>
      <c r="S64" s="552">
        <v>57027</v>
      </c>
      <c r="T64" s="552">
        <v>26165</v>
      </c>
      <c r="U64" s="552">
        <v>11456</v>
      </c>
      <c r="V64" s="553" t="s">
        <v>407</v>
      </c>
      <c r="W64" s="553" t="s">
        <v>407</v>
      </c>
      <c r="X64" s="551"/>
      <c r="Y64" s="551"/>
      <c r="Z64" s="551"/>
      <c r="AA64" s="551"/>
      <c r="AB64" s="551"/>
      <c r="AC64" s="551"/>
      <c r="AD64" s="551"/>
      <c r="AE64" s="551"/>
      <c r="AF64" s="551"/>
      <c r="AG64" s="551"/>
    </row>
    <row r="65" spans="1:33" x14ac:dyDescent="0.35">
      <c r="A65" s="551">
        <v>1931</v>
      </c>
      <c r="B65" s="19" t="s">
        <v>406</v>
      </c>
      <c r="C65" s="552">
        <v>4842980</v>
      </c>
      <c r="D65" s="552">
        <v>423346</v>
      </c>
      <c r="E65" s="552">
        <v>455713</v>
      </c>
      <c r="F65" s="552">
        <v>425815</v>
      </c>
      <c r="G65" s="552">
        <v>439292</v>
      </c>
      <c r="H65" s="552">
        <v>421577</v>
      </c>
      <c r="I65" s="552">
        <v>389033</v>
      </c>
      <c r="J65" s="552">
        <v>349495</v>
      </c>
      <c r="K65" s="552">
        <v>316154</v>
      </c>
      <c r="L65" s="552">
        <v>292243</v>
      </c>
      <c r="M65" s="552">
        <v>280583</v>
      </c>
      <c r="N65" s="552">
        <v>266533</v>
      </c>
      <c r="O65" s="552">
        <v>238021</v>
      </c>
      <c r="P65" s="552">
        <v>191771</v>
      </c>
      <c r="Q65" s="552">
        <v>148808</v>
      </c>
      <c r="R65" s="552">
        <v>106185</v>
      </c>
      <c r="S65" s="552">
        <v>60237</v>
      </c>
      <c r="T65" s="552">
        <v>26480</v>
      </c>
      <c r="U65" s="552">
        <v>11694</v>
      </c>
      <c r="V65" s="552">
        <v>11534</v>
      </c>
      <c r="W65" s="552">
        <v>160</v>
      </c>
      <c r="X65" s="551"/>
      <c r="Y65" s="551"/>
      <c r="Z65" s="551"/>
      <c r="AA65" s="551"/>
      <c r="AB65" s="551"/>
      <c r="AC65" s="551"/>
      <c r="AD65" s="551"/>
      <c r="AE65" s="551"/>
      <c r="AF65" s="551"/>
      <c r="AG65" s="551"/>
    </row>
    <row r="66" spans="1:33" x14ac:dyDescent="0.35">
      <c r="A66" s="551">
        <v>1932</v>
      </c>
      <c r="B66" s="19" t="s">
        <v>406</v>
      </c>
      <c r="C66" s="552">
        <v>4883069</v>
      </c>
      <c r="D66" s="552">
        <v>419965</v>
      </c>
      <c r="E66" s="552">
        <v>444002</v>
      </c>
      <c r="F66" s="552">
        <v>443701</v>
      </c>
      <c r="G66" s="552">
        <v>429562</v>
      </c>
      <c r="H66" s="552">
        <v>427252</v>
      </c>
      <c r="I66" s="552">
        <v>396076</v>
      </c>
      <c r="J66" s="552">
        <v>357637</v>
      </c>
      <c r="K66" s="552">
        <v>320316</v>
      </c>
      <c r="L66" s="552">
        <v>296710</v>
      </c>
      <c r="M66" s="552">
        <v>279751</v>
      </c>
      <c r="N66" s="552">
        <v>268320</v>
      </c>
      <c r="O66" s="552">
        <v>242723</v>
      </c>
      <c r="P66" s="552">
        <v>196115</v>
      </c>
      <c r="Q66" s="552">
        <v>152767</v>
      </c>
      <c r="R66" s="552">
        <v>106730</v>
      </c>
      <c r="S66" s="552">
        <v>63613</v>
      </c>
      <c r="T66" s="552">
        <v>26457</v>
      </c>
      <c r="U66" s="552">
        <v>11372</v>
      </c>
      <c r="V66" s="553" t="s">
        <v>407</v>
      </c>
      <c r="W66" s="553" t="s">
        <v>407</v>
      </c>
      <c r="X66" s="551"/>
      <c r="Y66" s="551"/>
      <c r="Z66" s="551"/>
      <c r="AA66" s="551"/>
      <c r="AB66" s="551"/>
      <c r="AC66" s="551"/>
      <c r="AD66" s="551"/>
      <c r="AE66" s="551"/>
      <c r="AF66" s="551"/>
      <c r="AG66" s="551"/>
    </row>
    <row r="67" spans="1:33" x14ac:dyDescent="0.35">
      <c r="A67" s="551">
        <v>1933</v>
      </c>
      <c r="B67" s="19" t="s">
        <v>406</v>
      </c>
      <c r="C67" s="552">
        <v>4912379</v>
      </c>
      <c r="D67" s="552">
        <v>414670</v>
      </c>
      <c r="E67" s="552">
        <v>435935</v>
      </c>
      <c r="F67" s="552">
        <v>462027</v>
      </c>
      <c r="G67" s="552">
        <v>414032</v>
      </c>
      <c r="H67" s="552">
        <v>430452</v>
      </c>
      <c r="I67" s="552">
        <v>401102</v>
      </c>
      <c r="J67" s="552">
        <v>368726</v>
      </c>
      <c r="K67" s="552">
        <v>320521</v>
      </c>
      <c r="L67" s="552">
        <v>302004</v>
      </c>
      <c r="M67" s="552">
        <v>279725</v>
      </c>
      <c r="N67" s="552">
        <v>270127</v>
      </c>
      <c r="O67" s="552">
        <v>243118</v>
      </c>
      <c r="P67" s="552">
        <v>202002</v>
      </c>
      <c r="Q67" s="552">
        <v>156084</v>
      </c>
      <c r="R67" s="552">
        <v>107723</v>
      </c>
      <c r="S67" s="552">
        <v>65613</v>
      </c>
      <c r="T67" s="552">
        <v>26880</v>
      </c>
      <c r="U67" s="552">
        <v>11638</v>
      </c>
      <c r="V67" s="553" t="s">
        <v>407</v>
      </c>
      <c r="W67" s="553" t="s">
        <v>407</v>
      </c>
      <c r="X67" s="551"/>
      <c r="Y67" s="551"/>
      <c r="Z67" s="551"/>
      <c r="AA67" s="551"/>
      <c r="AB67" s="551"/>
      <c r="AC67" s="551"/>
      <c r="AD67" s="551"/>
      <c r="AE67" s="551"/>
      <c r="AF67" s="551"/>
      <c r="AG67" s="551"/>
    </row>
    <row r="68" spans="1:33" x14ac:dyDescent="0.35">
      <c r="A68" s="551">
        <v>1934</v>
      </c>
      <c r="B68" s="19" t="s">
        <v>406</v>
      </c>
      <c r="C68" s="552">
        <v>4934291</v>
      </c>
      <c r="D68" s="552">
        <v>409983</v>
      </c>
      <c r="E68" s="552">
        <v>427563</v>
      </c>
      <c r="F68" s="552">
        <v>478140</v>
      </c>
      <c r="G68" s="552">
        <v>398340</v>
      </c>
      <c r="H68" s="552">
        <v>431363</v>
      </c>
      <c r="I68" s="552">
        <v>407596</v>
      </c>
      <c r="J68" s="552">
        <v>375862</v>
      </c>
      <c r="K68" s="552">
        <v>325884</v>
      </c>
      <c r="L68" s="552">
        <v>301133</v>
      </c>
      <c r="M68" s="552">
        <v>283688</v>
      </c>
      <c r="N68" s="552">
        <v>267629</v>
      </c>
      <c r="O68" s="552">
        <v>247056</v>
      </c>
      <c r="P68" s="552">
        <v>205153</v>
      </c>
      <c r="Q68" s="552">
        <v>159239</v>
      </c>
      <c r="R68" s="552">
        <v>109089</v>
      </c>
      <c r="S68" s="552">
        <v>67572</v>
      </c>
      <c r="T68" s="552">
        <v>27192</v>
      </c>
      <c r="U68" s="552">
        <v>11809</v>
      </c>
      <c r="V68" s="553" t="s">
        <v>407</v>
      </c>
      <c r="W68" s="553" t="s">
        <v>407</v>
      </c>
      <c r="X68" s="551"/>
      <c r="Y68" s="551"/>
      <c r="Z68" s="551"/>
      <c r="AA68" s="551"/>
      <c r="AB68" s="551"/>
      <c r="AC68" s="551"/>
      <c r="AD68" s="551"/>
      <c r="AE68" s="551"/>
      <c r="AF68" s="551"/>
      <c r="AG68" s="551"/>
    </row>
    <row r="69" spans="1:33" x14ac:dyDescent="0.35">
      <c r="A69" s="551">
        <v>1935</v>
      </c>
      <c r="B69" s="19" t="s">
        <v>406</v>
      </c>
      <c r="C69" s="552">
        <v>4952510</v>
      </c>
      <c r="D69" s="552">
        <v>407100</v>
      </c>
      <c r="E69" s="552">
        <v>421231</v>
      </c>
      <c r="F69" s="552">
        <v>464916</v>
      </c>
      <c r="G69" s="552">
        <v>406157</v>
      </c>
      <c r="H69" s="552">
        <v>431890</v>
      </c>
      <c r="I69" s="552">
        <v>411375</v>
      </c>
      <c r="J69" s="552">
        <v>380704</v>
      </c>
      <c r="K69" s="552">
        <v>331265</v>
      </c>
      <c r="L69" s="552">
        <v>308629</v>
      </c>
      <c r="M69" s="552">
        <v>279846</v>
      </c>
      <c r="N69" s="552">
        <v>270497</v>
      </c>
      <c r="O69" s="552">
        <v>245086</v>
      </c>
      <c r="P69" s="552">
        <v>212719</v>
      </c>
      <c r="Q69" s="552">
        <v>159684</v>
      </c>
      <c r="R69" s="552">
        <v>112507</v>
      </c>
      <c r="S69" s="552">
        <v>67427</v>
      </c>
      <c r="T69" s="552">
        <v>29296</v>
      </c>
      <c r="U69" s="552">
        <v>12181</v>
      </c>
      <c r="V69" s="553" t="s">
        <v>407</v>
      </c>
      <c r="W69" s="553" t="s">
        <v>407</v>
      </c>
      <c r="X69" s="551"/>
      <c r="Y69" s="551"/>
      <c r="Z69" s="551"/>
      <c r="AA69" s="551"/>
      <c r="AB69" s="551"/>
      <c r="AC69" s="551"/>
      <c r="AD69" s="551"/>
      <c r="AE69" s="551"/>
      <c r="AF69" s="551"/>
      <c r="AG69" s="551"/>
    </row>
    <row r="70" spans="1:33" x14ac:dyDescent="0.35">
      <c r="A70" s="551">
        <v>1936</v>
      </c>
      <c r="B70" s="19" t="s">
        <v>406</v>
      </c>
      <c r="C70" s="552">
        <v>4966302</v>
      </c>
      <c r="D70" s="552">
        <v>404269</v>
      </c>
      <c r="E70" s="552">
        <v>412706</v>
      </c>
      <c r="F70" s="552">
        <v>452696</v>
      </c>
      <c r="G70" s="552">
        <v>422075</v>
      </c>
      <c r="H70" s="552">
        <v>427515</v>
      </c>
      <c r="I70" s="552">
        <v>412715</v>
      </c>
      <c r="J70" s="552">
        <v>381511</v>
      </c>
      <c r="K70" s="552">
        <v>342101</v>
      </c>
      <c r="L70" s="552">
        <v>307938</v>
      </c>
      <c r="M70" s="552">
        <v>282559</v>
      </c>
      <c r="N70" s="552">
        <v>267448</v>
      </c>
      <c r="O70" s="552">
        <v>249031</v>
      </c>
      <c r="P70" s="552">
        <v>214895</v>
      </c>
      <c r="Q70" s="552">
        <v>162955</v>
      </c>
      <c r="R70" s="552">
        <v>114833</v>
      </c>
      <c r="S70" s="552">
        <v>68675</v>
      </c>
      <c r="T70" s="552">
        <v>30123</v>
      </c>
      <c r="U70" s="552">
        <v>12257</v>
      </c>
      <c r="V70" s="553" t="s">
        <v>407</v>
      </c>
      <c r="W70" s="553" t="s">
        <v>407</v>
      </c>
      <c r="X70" s="551"/>
      <c r="Y70" s="551"/>
      <c r="Z70" s="551"/>
      <c r="AA70" s="551"/>
      <c r="AB70" s="551"/>
      <c r="AC70" s="551"/>
      <c r="AD70" s="551"/>
      <c r="AE70" s="551"/>
      <c r="AF70" s="551"/>
      <c r="AG70" s="551"/>
    </row>
    <row r="71" spans="1:33" x14ac:dyDescent="0.35">
      <c r="A71" s="551">
        <v>1937</v>
      </c>
      <c r="B71" s="19" t="s">
        <v>406</v>
      </c>
      <c r="C71" s="552">
        <v>4976610</v>
      </c>
      <c r="D71" s="552">
        <v>400979</v>
      </c>
      <c r="E71" s="552">
        <v>408003</v>
      </c>
      <c r="F71" s="552">
        <v>439457</v>
      </c>
      <c r="G71" s="552">
        <v>438629</v>
      </c>
      <c r="H71" s="552">
        <v>417884</v>
      </c>
      <c r="I71" s="552">
        <v>415196</v>
      </c>
      <c r="J71" s="552">
        <v>384905</v>
      </c>
      <c r="K71" s="552">
        <v>347478</v>
      </c>
      <c r="L71" s="552">
        <v>309937</v>
      </c>
      <c r="M71" s="552">
        <v>285422</v>
      </c>
      <c r="N71" s="552">
        <v>265094</v>
      </c>
      <c r="O71" s="552">
        <v>249440</v>
      </c>
      <c r="P71" s="552">
        <v>218214</v>
      </c>
      <c r="Q71" s="552">
        <v>165924</v>
      </c>
      <c r="R71" s="552">
        <v>117466</v>
      </c>
      <c r="S71" s="552">
        <v>68100</v>
      </c>
      <c r="T71" s="552">
        <v>31837</v>
      </c>
      <c r="U71" s="552">
        <v>12645</v>
      </c>
      <c r="V71" s="553" t="s">
        <v>407</v>
      </c>
      <c r="W71" s="553" t="s">
        <v>407</v>
      </c>
      <c r="X71" s="551"/>
      <c r="Y71" s="551"/>
      <c r="Z71" s="551"/>
      <c r="AA71" s="551"/>
      <c r="AB71" s="551"/>
      <c r="AC71" s="551"/>
      <c r="AD71" s="551"/>
      <c r="AE71" s="551"/>
      <c r="AF71" s="551"/>
      <c r="AG71" s="551"/>
    </row>
    <row r="72" spans="1:33" x14ac:dyDescent="0.35">
      <c r="A72" s="551">
        <v>1938</v>
      </c>
      <c r="B72" s="19" t="s">
        <v>406</v>
      </c>
      <c r="C72" s="552">
        <v>4993126</v>
      </c>
      <c r="D72" s="552">
        <v>401581</v>
      </c>
      <c r="E72" s="552">
        <v>403577</v>
      </c>
      <c r="F72" s="552">
        <v>431257</v>
      </c>
      <c r="G72" s="552">
        <v>456842</v>
      </c>
      <c r="H72" s="552">
        <v>402236</v>
      </c>
      <c r="I72" s="552">
        <v>416689</v>
      </c>
      <c r="J72" s="552">
        <v>387643</v>
      </c>
      <c r="K72" s="552">
        <v>356939</v>
      </c>
      <c r="L72" s="552">
        <v>309243</v>
      </c>
      <c r="M72" s="552">
        <v>289740</v>
      </c>
      <c r="N72" s="552">
        <v>264578</v>
      </c>
      <c r="O72" s="552">
        <v>251049</v>
      </c>
      <c r="P72" s="552">
        <v>217836</v>
      </c>
      <c r="Q72" s="552">
        <v>170742</v>
      </c>
      <c r="R72" s="552">
        <v>119454</v>
      </c>
      <c r="S72" s="552">
        <v>68175</v>
      </c>
      <c r="T72" s="552">
        <v>32482</v>
      </c>
      <c r="U72" s="552">
        <v>13063</v>
      </c>
      <c r="V72" s="553" t="s">
        <v>407</v>
      </c>
      <c r="W72" s="553" t="s">
        <v>407</v>
      </c>
      <c r="X72" s="551"/>
      <c r="Y72" s="551"/>
      <c r="Z72" s="551"/>
      <c r="AA72" s="551"/>
      <c r="AB72" s="551"/>
      <c r="AC72" s="551"/>
      <c r="AD72" s="551"/>
      <c r="AE72" s="551"/>
      <c r="AF72" s="551"/>
      <c r="AG72" s="551"/>
    </row>
    <row r="73" spans="1:33" x14ac:dyDescent="0.35">
      <c r="A73" s="551">
        <v>1939</v>
      </c>
      <c r="B73" s="19" t="s">
        <v>406</v>
      </c>
      <c r="C73" s="552">
        <v>5006687</v>
      </c>
      <c r="D73" s="552">
        <v>401951</v>
      </c>
      <c r="E73" s="552">
        <v>398081</v>
      </c>
      <c r="F73" s="552">
        <v>422323</v>
      </c>
      <c r="G73" s="552">
        <v>472419</v>
      </c>
      <c r="H73" s="552">
        <v>388476</v>
      </c>
      <c r="I73" s="552">
        <v>414336</v>
      </c>
      <c r="J73" s="552">
        <v>392872</v>
      </c>
      <c r="K73" s="552">
        <v>362912</v>
      </c>
      <c r="L73" s="552">
        <v>314077</v>
      </c>
      <c r="M73" s="552">
        <v>288383</v>
      </c>
      <c r="N73" s="552">
        <v>268556</v>
      </c>
      <c r="O73" s="552">
        <v>248334</v>
      </c>
      <c r="P73" s="552">
        <v>221733</v>
      </c>
      <c r="Q73" s="552">
        <v>173418</v>
      </c>
      <c r="R73" s="552">
        <v>122356</v>
      </c>
      <c r="S73" s="552">
        <v>68991</v>
      </c>
      <c r="T73" s="552">
        <v>34002</v>
      </c>
      <c r="U73" s="552">
        <v>13467</v>
      </c>
      <c r="V73" s="553" t="s">
        <v>407</v>
      </c>
      <c r="W73" s="553" t="s">
        <v>407</v>
      </c>
      <c r="X73" s="551"/>
      <c r="Y73" s="551"/>
      <c r="Z73" s="551"/>
      <c r="AA73" s="551"/>
      <c r="AB73" s="551"/>
      <c r="AC73" s="551"/>
      <c r="AD73" s="551"/>
      <c r="AE73" s="551"/>
      <c r="AF73" s="551"/>
      <c r="AG73" s="551"/>
    </row>
    <row r="74" spans="1:33" x14ac:dyDescent="0.35">
      <c r="A74" s="551">
        <v>1940</v>
      </c>
      <c r="B74" s="19" t="s">
        <v>406</v>
      </c>
      <c r="C74" s="552">
        <v>4841241</v>
      </c>
      <c r="D74" s="552">
        <v>408994</v>
      </c>
      <c r="E74" s="552">
        <v>399781</v>
      </c>
      <c r="F74" s="552">
        <v>420413</v>
      </c>
      <c r="G74" s="552">
        <v>439944</v>
      </c>
      <c r="H74" s="552">
        <v>298011</v>
      </c>
      <c r="I74" s="552">
        <v>359940</v>
      </c>
      <c r="J74" s="552">
        <v>371465</v>
      </c>
      <c r="K74" s="552">
        <v>360383</v>
      </c>
      <c r="L74" s="552">
        <v>317626</v>
      </c>
      <c r="M74" s="552">
        <v>294722</v>
      </c>
      <c r="N74" s="552">
        <v>268746</v>
      </c>
      <c r="O74" s="552">
        <v>251552</v>
      </c>
      <c r="P74" s="552">
        <v>220387</v>
      </c>
      <c r="Q74" s="552">
        <v>183698</v>
      </c>
      <c r="R74" s="552">
        <v>125759</v>
      </c>
      <c r="S74" s="552">
        <v>74107</v>
      </c>
      <c r="T74" s="552">
        <v>32261</v>
      </c>
      <c r="U74" s="552">
        <v>13452</v>
      </c>
      <c r="V74" s="553" t="s">
        <v>407</v>
      </c>
      <c r="W74" s="553" t="s">
        <v>407</v>
      </c>
      <c r="X74" s="551"/>
      <c r="Y74" s="551"/>
      <c r="Z74" s="551"/>
      <c r="AA74" s="551"/>
      <c r="AB74" s="551"/>
      <c r="AC74" s="551"/>
      <c r="AD74" s="551"/>
      <c r="AE74" s="551"/>
      <c r="AF74" s="551"/>
      <c r="AG74" s="551"/>
    </row>
    <row r="75" spans="1:33" x14ac:dyDescent="0.35">
      <c r="A75" s="551">
        <v>1941</v>
      </c>
      <c r="B75" s="19" t="s">
        <v>406</v>
      </c>
      <c r="C75" s="552">
        <v>4819396</v>
      </c>
      <c r="D75" s="552">
        <v>418719</v>
      </c>
      <c r="E75" s="552">
        <v>410231</v>
      </c>
      <c r="F75" s="552">
        <v>419703</v>
      </c>
      <c r="G75" s="552">
        <v>439093</v>
      </c>
      <c r="H75" s="552">
        <v>272925</v>
      </c>
      <c r="I75" s="552">
        <v>339486</v>
      </c>
      <c r="J75" s="552">
        <v>350018</v>
      </c>
      <c r="K75" s="552">
        <v>351664</v>
      </c>
      <c r="L75" s="552">
        <v>328835</v>
      </c>
      <c r="M75" s="552">
        <v>297564</v>
      </c>
      <c r="N75" s="552">
        <v>271428</v>
      </c>
      <c r="O75" s="552">
        <v>252027</v>
      </c>
      <c r="P75" s="552">
        <v>224686</v>
      </c>
      <c r="Q75" s="552">
        <v>188160</v>
      </c>
      <c r="R75" s="552">
        <v>130386</v>
      </c>
      <c r="S75" s="552">
        <v>77581</v>
      </c>
      <c r="T75" s="552">
        <v>32865</v>
      </c>
      <c r="U75" s="552">
        <v>14025</v>
      </c>
      <c r="V75" s="553" t="s">
        <v>407</v>
      </c>
      <c r="W75" s="553" t="s">
        <v>407</v>
      </c>
      <c r="X75" s="551"/>
      <c r="Y75" s="551"/>
      <c r="Z75" s="551"/>
      <c r="AA75" s="551"/>
      <c r="AB75" s="551"/>
      <c r="AC75" s="551"/>
      <c r="AD75" s="551"/>
      <c r="AE75" s="551"/>
      <c r="AF75" s="551"/>
      <c r="AG75" s="551"/>
    </row>
    <row r="76" spans="1:33" x14ac:dyDescent="0.35">
      <c r="A76" s="551">
        <v>1942</v>
      </c>
      <c r="B76" s="19" t="s">
        <v>406</v>
      </c>
      <c r="C76" s="552">
        <v>4750995</v>
      </c>
      <c r="D76" s="552">
        <v>413013</v>
      </c>
      <c r="E76" s="552">
        <v>408262</v>
      </c>
      <c r="F76" s="552">
        <v>414758</v>
      </c>
      <c r="G76" s="552">
        <v>414480</v>
      </c>
      <c r="H76" s="552">
        <v>265226</v>
      </c>
      <c r="I76" s="552">
        <v>308340</v>
      </c>
      <c r="J76" s="552">
        <v>340655</v>
      </c>
      <c r="K76" s="552">
        <v>340733</v>
      </c>
      <c r="L76" s="552">
        <v>333160</v>
      </c>
      <c r="M76" s="552">
        <v>302676</v>
      </c>
      <c r="N76" s="552">
        <v>276617</v>
      </c>
      <c r="O76" s="552">
        <v>250908</v>
      </c>
      <c r="P76" s="552">
        <v>226027</v>
      </c>
      <c r="Q76" s="552">
        <v>190700</v>
      </c>
      <c r="R76" s="552">
        <v>134575</v>
      </c>
      <c r="S76" s="552">
        <v>81458</v>
      </c>
      <c r="T76" s="552">
        <v>35144</v>
      </c>
      <c r="U76" s="552">
        <v>14263</v>
      </c>
      <c r="V76" s="553" t="s">
        <v>407</v>
      </c>
      <c r="W76" s="553" t="s">
        <v>407</v>
      </c>
      <c r="X76" s="551"/>
      <c r="Y76" s="551"/>
      <c r="Z76" s="551"/>
      <c r="AA76" s="551"/>
      <c r="AB76" s="551"/>
      <c r="AC76" s="551"/>
      <c r="AD76" s="551"/>
      <c r="AE76" s="551"/>
      <c r="AF76" s="551"/>
      <c r="AG76" s="551"/>
    </row>
    <row r="77" spans="1:33" x14ac:dyDescent="0.35">
      <c r="A77" s="551">
        <v>1943</v>
      </c>
      <c r="B77" s="19" t="s">
        <v>406</v>
      </c>
      <c r="C77" s="552">
        <v>4661587</v>
      </c>
      <c r="D77" s="552">
        <v>416849</v>
      </c>
      <c r="E77" s="552">
        <v>411381</v>
      </c>
      <c r="F77" s="552">
        <v>413056</v>
      </c>
      <c r="G77" s="552">
        <v>388460</v>
      </c>
      <c r="H77" s="552">
        <v>235202</v>
      </c>
      <c r="I77" s="552">
        <v>267888</v>
      </c>
      <c r="J77" s="552">
        <v>327804</v>
      </c>
      <c r="K77" s="552">
        <v>327568</v>
      </c>
      <c r="L77" s="552">
        <v>335980</v>
      </c>
      <c r="M77" s="552">
        <v>304351</v>
      </c>
      <c r="N77" s="552">
        <v>281772</v>
      </c>
      <c r="O77" s="552">
        <v>252078</v>
      </c>
      <c r="P77" s="552">
        <v>228341</v>
      </c>
      <c r="Q77" s="552">
        <v>190585</v>
      </c>
      <c r="R77" s="552">
        <v>140598</v>
      </c>
      <c r="S77" s="552">
        <v>85875</v>
      </c>
      <c r="T77" s="552">
        <v>39439</v>
      </c>
      <c r="U77" s="552">
        <v>14360</v>
      </c>
      <c r="V77" s="553" t="s">
        <v>407</v>
      </c>
      <c r="W77" s="553" t="s">
        <v>407</v>
      </c>
      <c r="X77" s="551"/>
      <c r="Y77" s="551"/>
      <c r="Z77" s="551"/>
      <c r="AA77" s="551"/>
      <c r="AB77" s="551"/>
      <c r="AC77" s="551"/>
      <c r="AD77" s="551"/>
      <c r="AE77" s="551"/>
      <c r="AF77" s="551"/>
      <c r="AG77" s="551"/>
    </row>
    <row r="78" spans="1:33" x14ac:dyDescent="0.35">
      <c r="A78" s="551">
        <v>1944</v>
      </c>
      <c r="B78" s="19" t="s">
        <v>406</v>
      </c>
      <c r="C78" s="552">
        <v>4653645</v>
      </c>
      <c r="D78" s="552">
        <v>419062</v>
      </c>
      <c r="E78" s="552">
        <v>412642</v>
      </c>
      <c r="F78" s="552">
        <v>408891</v>
      </c>
      <c r="G78" s="552">
        <v>383526</v>
      </c>
      <c r="H78" s="552">
        <v>246600</v>
      </c>
      <c r="I78" s="552">
        <v>235262</v>
      </c>
      <c r="J78" s="552">
        <v>321644</v>
      </c>
      <c r="K78" s="552">
        <v>326667</v>
      </c>
      <c r="L78" s="552">
        <v>339802</v>
      </c>
      <c r="M78" s="552">
        <v>309071</v>
      </c>
      <c r="N78" s="552">
        <v>283460</v>
      </c>
      <c r="O78" s="552">
        <v>256588</v>
      </c>
      <c r="P78" s="552">
        <v>227287</v>
      </c>
      <c r="Q78" s="552">
        <v>193051</v>
      </c>
      <c r="R78" s="552">
        <v>144559</v>
      </c>
      <c r="S78" s="552">
        <v>88780</v>
      </c>
      <c r="T78" s="552">
        <v>42061</v>
      </c>
      <c r="U78" s="552">
        <v>14692</v>
      </c>
      <c r="V78" s="553" t="s">
        <v>407</v>
      </c>
      <c r="W78" s="553" t="s">
        <v>407</v>
      </c>
      <c r="X78" s="551"/>
      <c r="Y78" s="551"/>
      <c r="Z78" s="551"/>
      <c r="AA78" s="551"/>
      <c r="AB78" s="551"/>
      <c r="AC78" s="551"/>
      <c r="AD78" s="551"/>
      <c r="AE78" s="551"/>
      <c r="AF78" s="551"/>
      <c r="AG78" s="551"/>
    </row>
    <row r="79" spans="1:33" x14ac:dyDescent="0.35">
      <c r="A79" s="551">
        <v>1945</v>
      </c>
      <c r="B79" s="19" t="s">
        <v>406</v>
      </c>
      <c r="C79" s="552">
        <v>4673931</v>
      </c>
      <c r="D79" s="552">
        <v>421737</v>
      </c>
      <c r="E79" s="552">
        <v>412790</v>
      </c>
      <c r="F79" s="552">
        <v>408439</v>
      </c>
      <c r="G79" s="552">
        <v>383067</v>
      </c>
      <c r="H79" s="552">
        <v>251434</v>
      </c>
      <c r="I79" s="552">
        <v>227808</v>
      </c>
      <c r="J79" s="552">
        <v>315835</v>
      </c>
      <c r="K79" s="552">
        <v>328906</v>
      </c>
      <c r="L79" s="552">
        <v>340055</v>
      </c>
      <c r="M79" s="552">
        <v>314654</v>
      </c>
      <c r="N79" s="552">
        <v>290195</v>
      </c>
      <c r="O79" s="552">
        <v>256628</v>
      </c>
      <c r="P79" s="552">
        <v>230601</v>
      </c>
      <c r="Q79" s="552">
        <v>192230</v>
      </c>
      <c r="R79" s="552">
        <v>150221</v>
      </c>
      <c r="S79" s="552">
        <v>89635</v>
      </c>
      <c r="T79" s="552">
        <v>44216</v>
      </c>
      <c r="U79" s="552">
        <v>15480</v>
      </c>
      <c r="V79" s="553" t="s">
        <v>407</v>
      </c>
      <c r="W79" s="553" t="s">
        <v>407</v>
      </c>
      <c r="X79" s="551"/>
      <c r="Y79" s="551"/>
      <c r="Z79" s="551"/>
      <c r="AA79" s="551"/>
      <c r="AB79" s="551"/>
      <c r="AC79" s="551"/>
      <c r="AD79" s="551"/>
      <c r="AE79" s="551"/>
      <c r="AF79" s="551"/>
      <c r="AG79" s="551"/>
    </row>
    <row r="80" spans="1:33" x14ac:dyDescent="0.35">
      <c r="A80" s="551">
        <v>1946</v>
      </c>
      <c r="B80" s="19" t="s">
        <v>406</v>
      </c>
      <c r="C80" s="552">
        <v>4900761</v>
      </c>
      <c r="D80" s="552">
        <v>417868</v>
      </c>
      <c r="E80" s="552">
        <v>400077</v>
      </c>
      <c r="F80" s="552">
        <v>396970</v>
      </c>
      <c r="G80" s="552">
        <v>366015</v>
      </c>
      <c r="H80" s="552">
        <v>306812</v>
      </c>
      <c r="I80" s="552">
        <v>323951</v>
      </c>
      <c r="J80" s="552">
        <v>375878</v>
      </c>
      <c r="K80" s="552">
        <v>372629</v>
      </c>
      <c r="L80" s="552">
        <v>356175</v>
      </c>
      <c r="M80" s="552">
        <v>322376</v>
      </c>
      <c r="N80" s="552">
        <v>287780</v>
      </c>
      <c r="O80" s="552">
        <v>254616</v>
      </c>
      <c r="P80" s="552">
        <v>226547</v>
      </c>
      <c r="Q80" s="552">
        <v>190890</v>
      </c>
      <c r="R80" s="552">
        <v>148864</v>
      </c>
      <c r="S80" s="552">
        <v>90493</v>
      </c>
      <c r="T80" s="552">
        <v>46690</v>
      </c>
      <c r="U80" s="552">
        <v>16130</v>
      </c>
      <c r="V80" s="553" t="s">
        <v>407</v>
      </c>
      <c r="W80" s="553" t="s">
        <v>407</v>
      </c>
      <c r="X80" s="551"/>
      <c r="Y80" s="551"/>
      <c r="Z80" s="551"/>
      <c r="AA80" s="551"/>
      <c r="AB80" s="551"/>
      <c r="AC80" s="551"/>
      <c r="AD80" s="551"/>
      <c r="AE80" s="551"/>
      <c r="AF80" s="551"/>
      <c r="AG80" s="551"/>
    </row>
    <row r="81" spans="1:33" x14ac:dyDescent="0.35">
      <c r="A81" s="551">
        <v>1947</v>
      </c>
      <c r="B81" s="19" t="s">
        <v>406</v>
      </c>
      <c r="C81" s="552">
        <v>5072254</v>
      </c>
      <c r="D81" s="552">
        <v>432353</v>
      </c>
      <c r="E81" s="552">
        <v>390222</v>
      </c>
      <c r="F81" s="552">
        <v>386435</v>
      </c>
      <c r="G81" s="552">
        <v>390258</v>
      </c>
      <c r="H81" s="552">
        <v>380833</v>
      </c>
      <c r="I81" s="552">
        <v>378016</v>
      </c>
      <c r="J81" s="552">
        <v>371385</v>
      </c>
      <c r="K81" s="552">
        <v>386802</v>
      </c>
      <c r="L81" s="552">
        <v>365655</v>
      </c>
      <c r="M81" s="552">
        <v>334319</v>
      </c>
      <c r="N81" s="552">
        <v>284767</v>
      </c>
      <c r="O81" s="552">
        <v>253717</v>
      </c>
      <c r="P81" s="552">
        <v>225395</v>
      </c>
      <c r="Q81" s="552">
        <v>193859</v>
      </c>
      <c r="R81" s="552">
        <v>148899</v>
      </c>
      <c r="S81" s="552">
        <v>88353</v>
      </c>
      <c r="T81" s="552">
        <v>43512</v>
      </c>
      <c r="U81" s="552">
        <v>17474</v>
      </c>
      <c r="V81" s="553" t="s">
        <v>407</v>
      </c>
      <c r="W81" s="553" t="s">
        <v>407</v>
      </c>
      <c r="X81" s="551"/>
      <c r="Y81" s="551"/>
      <c r="Z81" s="551"/>
      <c r="AA81" s="551"/>
      <c r="AB81" s="551"/>
      <c r="AC81" s="551"/>
      <c r="AD81" s="551"/>
      <c r="AE81" s="551"/>
      <c r="AF81" s="551"/>
      <c r="AG81" s="551"/>
    </row>
    <row r="82" spans="1:33" x14ac:dyDescent="0.35">
      <c r="A82" s="551">
        <v>1948</v>
      </c>
      <c r="B82" s="19" t="s">
        <v>406</v>
      </c>
      <c r="C82" s="552">
        <v>5084894</v>
      </c>
      <c r="D82" s="552">
        <v>446473</v>
      </c>
      <c r="E82" s="552">
        <v>392290</v>
      </c>
      <c r="F82" s="552">
        <v>387562</v>
      </c>
      <c r="G82" s="552">
        <v>375768</v>
      </c>
      <c r="H82" s="552">
        <v>375569</v>
      </c>
      <c r="I82" s="552">
        <v>390929</v>
      </c>
      <c r="J82" s="552">
        <v>350957</v>
      </c>
      <c r="K82" s="552">
        <v>385288</v>
      </c>
      <c r="L82" s="552">
        <v>368538</v>
      </c>
      <c r="M82" s="552">
        <v>343011</v>
      </c>
      <c r="N82" s="552">
        <v>286932</v>
      </c>
      <c r="O82" s="552">
        <v>256309</v>
      </c>
      <c r="P82" s="552">
        <v>226460</v>
      </c>
      <c r="Q82" s="552">
        <v>192929</v>
      </c>
      <c r="R82" s="552">
        <v>151626</v>
      </c>
      <c r="S82" s="552">
        <v>90789</v>
      </c>
      <c r="T82" s="552">
        <v>44948</v>
      </c>
      <c r="U82" s="552">
        <v>18516</v>
      </c>
      <c r="V82" s="553" t="s">
        <v>407</v>
      </c>
      <c r="W82" s="553" t="s">
        <v>407</v>
      </c>
      <c r="X82" s="551"/>
      <c r="Y82" s="551"/>
      <c r="Z82" s="551"/>
      <c r="AA82" s="551"/>
      <c r="AB82" s="551"/>
      <c r="AC82" s="551"/>
      <c r="AD82" s="551"/>
      <c r="AE82" s="551"/>
      <c r="AF82" s="551"/>
      <c r="AG82" s="551"/>
    </row>
    <row r="83" spans="1:33" x14ac:dyDescent="0.35">
      <c r="A83" s="551">
        <v>1949</v>
      </c>
      <c r="B83" s="19" t="s">
        <v>406</v>
      </c>
      <c r="C83" s="552">
        <v>5098922</v>
      </c>
      <c r="D83" s="552">
        <v>456091</v>
      </c>
      <c r="E83" s="552">
        <v>394182</v>
      </c>
      <c r="F83" s="552">
        <v>389089</v>
      </c>
      <c r="G83" s="552">
        <v>370377</v>
      </c>
      <c r="H83" s="552">
        <v>377664</v>
      </c>
      <c r="I83" s="552">
        <v>402943</v>
      </c>
      <c r="J83" s="552">
        <v>331429</v>
      </c>
      <c r="K83" s="552">
        <v>380857</v>
      </c>
      <c r="L83" s="552">
        <v>371948</v>
      </c>
      <c r="M83" s="552">
        <v>347563</v>
      </c>
      <c r="N83" s="552">
        <v>291589</v>
      </c>
      <c r="O83" s="552">
        <v>256587</v>
      </c>
      <c r="P83" s="552">
        <v>226643</v>
      </c>
      <c r="Q83" s="552">
        <v>191487</v>
      </c>
      <c r="R83" s="552">
        <v>152596</v>
      </c>
      <c r="S83" s="552">
        <v>93223</v>
      </c>
      <c r="T83" s="552">
        <v>45264</v>
      </c>
      <c r="U83" s="552">
        <v>19390</v>
      </c>
      <c r="V83" s="553" t="s">
        <v>407</v>
      </c>
      <c r="W83" s="553" t="s">
        <v>407</v>
      </c>
      <c r="X83" s="551"/>
      <c r="Y83" s="551"/>
      <c r="Z83" s="551"/>
      <c r="AA83" s="551"/>
      <c r="AB83" s="551"/>
      <c r="AC83" s="551"/>
      <c r="AD83" s="551"/>
      <c r="AE83" s="551"/>
      <c r="AF83" s="551"/>
      <c r="AG83" s="551"/>
    </row>
    <row r="84" spans="1:33" x14ac:dyDescent="0.35">
      <c r="A84" s="551">
        <v>1950</v>
      </c>
      <c r="B84" s="19" t="s">
        <v>406</v>
      </c>
      <c r="C84" s="552">
        <v>5114513</v>
      </c>
      <c r="D84" s="552">
        <v>465933</v>
      </c>
      <c r="E84" s="552">
        <v>394840</v>
      </c>
      <c r="F84" s="552">
        <v>388872</v>
      </c>
      <c r="G84" s="552">
        <v>367233</v>
      </c>
      <c r="H84" s="552">
        <v>376214</v>
      </c>
      <c r="I84" s="552">
        <v>389389</v>
      </c>
      <c r="J84" s="552">
        <v>339107</v>
      </c>
      <c r="K84" s="552">
        <v>379305</v>
      </c>
      <c r="L84" s="552">
        <v>371055</v>
      </c>
      <c r="M84" s="552">
        <v>350728</v>
      </c>
      <c r="N84" s="552">
        <v>299166</v>
      </c>
      <c r="O84" s="552">
        <v>260868</v>
      </c>
      <c r="P84" s="552">
        <v>225003</v>
      </c>
      <c r="Q84" s="552">
        <v>191663</v>
      </c>
      <c r="R84" s="552">
        <v>152604</v>
      </c>
      <c r="S84" s="552">
        <v>96541</v>
      </c>
      <c r="T84" s="552">
        <v>45925</v>
      </c>
      <c r="U84" s="552">
        <v>20067</v>
      </c>
      <c r="V84" s="553" t="s">
        <v>407</v>
      </c>
      <c r="W84" s="553" t="s">
        <v>407</v>
      </c>
      <c r="X84" s="551"/>
      <c r="Y84" s="551"/>
      <c r="Z84" s="551"/>
      <c r="AA84" s="551"/>
      <c r="AB84" s="551"/>
      <c r="AC84" s="551"/>
      <c r="AD84" s="551"/>
      <c r="AE84" s="551"/>
      <c r="AF84" s="551"/>
      <c r="AG84" s="551"/>
    </row>
    <row r="85" spans="1:33" x14ac:dyDescent="0.35">
      <c r="A85" s="551">
        <v>1951</v>
      </c>
      <c r="B85" s="19" t="s">
        <v>406</v>
      </c>
      <c r="C85" s="552">
        <v>5102458</v>
      </c>
      <c r="D85" s="552">
        <v>472405</v>
      </c>
      <c r="E85" s="552">
        <v>400901</v>
      </c>
      <c r="F85" s="552">
        <v>385861</v>
      </c>
      <c r="G85" s="552">
        <v>361606</v>
      </c>
      <c r="H85" s="552">
        <v>365601</v>
      </c>
      <c r="I85" s="552">
        <v>377936</v>
      </c>
      <c r="J85" s="552">
        <v>347592</v>
      </c>
      <c r="K85" s="552">
        <v>365887</v>
      </c>
      <c r="L85" s="552">
        <v>370903</v>
      </c>
      <c r="M85" s="552">
        <v>349898</v>
      </c>
      <c r="N85" s="552">
        <v>309771</v>
      </c>
      <c r="O85" s="552">
        <v>261115</v>
      </c>
      <c r="P85" s="552">
        <v>225274</v>
      </c>
      <c r="Q85" s="552">
        <v>192045</v>
      </c>
      <c r="R85" s="552">
        <v>151221</v>
      </c>
      <c r="S85" s="552">
        <v>98341</v>
      </c>
      <c r="T85" s="552">
        <v>46037</v>
      </c>
      <c r="U85" s="552">
        <v>20064</v>
      </c>
      <c r="V85" s="553" t="s">
        <v>407</v>
      </c>
      <c r="W85" s="553" t="s">
        <v>407</v>
      </c>
      <c r="X85" s="551"/>
      <c r="Y85" s="551"/>
      <c r="Z85" s="551"/>
      <c r="AA85" s="551"/>
      <c r="AB85" s="551"/>
      <c r="AC85" s="551"/>
      <c r="AD85" s="551"/>
      <c r="AE85" s="551"/>
      <c r="AF85" s="551"/>
      <c r="AG85" s="551"/>
    </row>
    <row r="86" spans="1:33" x14ac:dyDescent="0.35">
      <c r="A86" s="551">
        <v>1952</v>
      </c>
      <c r="B86" s="19" t="s">
        <v>406</v>
      </c>
      <c r="C86" s="552">
        <v>5100847</v>
      </c>
      <c r="D86" s="552">
        <v>448735</v>
      </c>
      <c r="E86" s="552">
        <v>427213</v>
      </c>
      <c r="F86" s="552">
        <v>382430</v>
      </c>
      <c r="G86" s="552">
        <v>355596</v>
      </c>
      <c r="H86" s="552">
        <v>360584</v>
      </c>
      <c r="I86" s="552">
        <v>369655</v>
      </c>
      <c r="J86" s="552">
        <v>360184</v>
      </c>
      <c r="K86" s="552">
        <v>353015</v>
      </c>
      <c r="L86" s="552">
        <v>371730</v>
      </c>
      <c r="M86" s="552">
        <v>350583</v>
      </c>
      <c r="N86" s="552">
        <v>316874</v>
      </c>
      <c r="O86" s="552">
        <v>264441</v>
      </c>
      <c r="P86" s="552">
        <v>227006</v>
      </c>
      <c r="Q86" s="552">
        <v>192216</v>
      </c>
      <c r="R86" s="552">
        <v>151661</v>
      </c>
      <c r="S86" s="552">
        <v>101088</v>
      </c>
      <c r="T86" s="552">
        <v>46986</v>
      </c>
      <c r="U86" s="552">
        <v>20850</v>
      </c>
      <c r="V86" s="553" t="s">
        <v>407</v>
      </c>
      <c r="W86" s="553" t="s">
        <v>407</v>
      </c>
      <c r="X86" s="551"/>
      <c r="Y86" s="551"/>
      <c r="Z86" s="551"/>
      <c r="AA86" s="551"/>
      <c r="AB86" s="551"/>
      <c r="AC86" s="551"/>
      <c r="AD86" s="551"/>
      <c r="AE86" s="551"/>
      <c r="AF86" s="551"/>
      <c r="AG86" s="551"/>
    </row>
    <row r="87" spans="1:33" x14ac:dyDescent="0.35">
      <c r="A87" s="551">
        <v>1953</v>
      </c>
      <c r="B87" s="19" t="s">
        <v>406</v>
      </c>
      <c r="C87" s="552">
        <v>5099809</v>
      </c>
      <c r="D87" s="552">
        <v>437205</v>
      </c>
      <c r="E87" s="552">
        <v>439593</v>
      </c>
      <c r="F87" s="552">
        <v>382762</v>
      </c>
      <c r="G87" s="552">
        <v>353412</v>
      </c>
      <c r="H87" s="552">
        <v>351660</v>
      </c>
      <c r="I87" s="552">
        <v>365830</v>
      </c>
      <c r="J87" s="552">
        <v>373052</v>
      </c>
      <c r="K87" s="552">
        <v>334934</v>
      </c>
      <c r="L87" s="552">
        <v>369353</v>
      </c>
      <c r="M87" s="552">
        <v>353178</v>
      </c>
      <c r="N87" s="552">
        <v>324942</v>
      </c>
      <c r="O87" s="552">
        <v>266957</v>
      </c>
      <c r="P87" s="552">
        <v>229650</v>
      </c>
      <c r="Q87" s="552">
        <v>193167</v>
      </c>
      <c r="R87" s="552">
        <v>151156</v>
      </c>
      <c r="S87" s="552">
        <v>102913</v>
      </c>
      <c r="T87" s="552">
        <v>48495</v>
      </c>
      <c r="U87" s="552">
        <v>21550</v>
      </c>
      <c r="V87" s="553" t="s">
        <v>407</v>
      </c>
      <c r="W87" s="553" t="s">
        <v>407</v>
      </c>
      <c r="X87" s="551"/>
      <c r="Y87" s="551"/>
      <c r="Z87" s="551"/>
      <c r="AA87" s="551"/>
      <c r="AB87" s="551"/>
      <c r="AC87" s="551"/>
      <c r="AD87" s="551"/>
      <c r="AE87" s="551"/>
      <c r="AF87" s="551"/>
      <c r="AG87" s="551"/>
    </row>
    <row r="88" spans="1:33" x14ac:dyDescent="0.35">
      <c r="A88" s="551">
        <v>1954</v>
      </c>
      <c r="B88" s="19" t="s">
        <v>406</v>
      </c>
      <c r="C88" s="552">
        <v>5103632</v>
      </c>
      <c r="D88" s="552">
        <v>431965</v>
      </c>
      <c r="E88" s="552">
        <v>447022</v>
      </c>
      <c r="F88" s="552">
        <v>385763</v>
      </c>
      <c r="G88" s="552">
        <v>351067</v>
      </c>
      <c r="H88" s="552">
        <v>344666</v>
      </c>
      <c r="I88" s="552">
        <v>361569</v>
      </c>
      <c r="J88" s="552">
        <v>384592</v>
      </c>
      <c r="K88" s="552">
        <v>318065</v>
      </c>
      <c r="L88" s="552">
        <v>365578</v>
      </c>
      <c r="M88" s="552">
        <v>357428</v>
      </c>
      <c r="N88" s="552">
        <v>330157</v>
      </c>
      <c r="O88" s="552">
        <v>272452</v>
      </c>
      <c r="P88" s="552">
        <v>231317</v>
      </c>
      <c r="Q88" s="552">
        <v>194203</v>
      </c>
      <c r="R88" s="552">
        <v>151095</v>
      </c>
      <c r="S88" s="552">
        <v>104095</v>
      </c>
      <c r="T88" s="552">
        <v>50589</v>
      </c>
      <c r="U88" s="552">
        <v>22009</v>
      </c>
      <c r="V88" s="553" t="s">
        <v>407</v>
      </c>
      <c r="W88" s="553" t="s">
        <v>407</v>
      </c>
      <c r="X88" s="551"/>
      <c r="Y88" s="551"/>
      <c r="Z88" s="551"/>
      <c r="AA88" s="551"/>
      <c r="AB88" s="551"/>
      <c r="AC88" s="551"/>
      <c r="AD88" s="551"/>
      <c r="AE88" s="551"/>
      <c r="AF88" s="551"/>
      <c r="AG88" s="551"/>
    </row>
    <row r="89" spans="1:33" x14ac:dyDescent="0.35">
      <c r="A89" s="551">
        <v>1955</v>
      </c>
      <c r="B89" s="19" t="s">
        <v>406</v>
      </c>
      <c r="C89" s="552">
        <v>5111338</v>
      </c>
      <c r="D89" s="552">
        <v>430548</v>
      </c>
      <c r="E89" s="552">
        <v>454569</v>
      </c>
      <c r="F89" s="552">
        <v>386407</v>
      </c>
      <c r="G89" s="552">
        <v>352766</v>
      </c>
      <c r="H89" s="552">
        <v>338392</v>
      </c>
      <c r="I89" s="552">
        <v>358455</v>
      </c>
      <c r="J89" s="552">
        <v>371478</v>
      </c>
      <c r="K89" s="552">
        <v>325431</v>
      </c>
      <c r="L89" s="552">
        <v>364789</v>
      </c>
      <c r="M89" s="552">
        <v>357298</v>
      </c>
      <c r="N89" s="552">
        <v>333490</v>
      </c>
      <c r="O89" s="552">
        <v>279342</v>
      </c>
      <c r="P89" s="552">
        <v>235771</v>
      </c>
      <c r="Q89" s="552">
        <v>192801</v>
      </c>
      <c r="R89" s="552">
        <v>151258</v>
      </c>
      <c r="S89" s="552">
        <v>103782</v>
      </c>
      <c r="T89" s="552">
        <v>52776</v>
      </c>
      <c r="U89" s="552">
        <v>21985</v>
      </c>
      <c r="V89" s="553" t="s">
        <v>407</v>
      </c>
      <c r="W89" s="553" t="s">
        <v>407</v>
      </c>
      <c r="X89" s="551"/>
      <c r="Y89" s="551"/>
      <c r="Z89" s="551"/>
      <c r="AA89" s="551"/>
      <c r="AB89" s="551"/>
      <c r="AC89" s="551"/>
      <c r="AD89" s="551"/>
      <c r="AE89" s="551"/>
      <c r="AF89" s="551"/>
      <c r="AG89" s="551"/>
    </row>
    <row r="90" spans="1:33" x14ac:dyDescent="0.35">
      <c r="A90" s="551">
        <v>1956</v>
      </c>
      <c r="B90" s="19" t="s">
        <v>406</v>
      </c>
      <c r="C90" s="552">
        <v>5119937</v>
      </c>
      <c r="D90" s="552">
        <v>432832</v>
      </c>
      <c r="E90" s="552">
        <v>459475</v>
      </c>
      <c r="F90" s="552">
        <v>391392</v>
      </c>
      <c r="G90" s="552">
        <v>349315</v>
      </c>
      <c r="H90" s="552">
        <v>333277</v>
      </c>
      <c r="I90" s="552">
        <v>354185</v>
      </c>
      <c r="J90" s="552">
        <v>362833</v>
      </c>
      <c r="K90" s="552">
        <v>335525</v>
      </c>
      <c r="L90" s="552">
        <v>354327</v>
      </c>
      <c r="M90" s="552">
        <v>358984</v>
      </c>
      <c r="N90" s="552">
        <v>334357</v>
      </c>
      <c r="O90" s="552">
        <v>288993</v>
      </c>
      <c r="P90" s="552">
        <v>237362</v>
      </c>
      <c r="Q90" s="552">
        <v>193905</v>
      </c>
      <c r="R90" s="552">
        <v>152119</v>
      </c>
      <c r="S90" s="552">
        <v>103841</v>
      </c>
      <c r="T90" s="552">
        <v>54573</v>
      </c>
      <c r="U90" s="552">
        <v>22642</v>
      </c>
      <c r="V90" s="553" t="s">
        <v>407</v>
      </c>
      <c r="W90" s="553" t="s">
        <v>407</v>
      </c>
      <c r="X90" s="551"/>
      <c r="Y90" s="551"/>
      <c r="Z90" s="551"/>
      <c r="AA90" s="551"/>
      <c r="AB90" s="551"/>
      <c r="AC90" s="551"/>
      <c r="AD90" s="551"/>
      <c r="AE90" s="551"/>
      <c r="AF90" s="551"/>
      <c r="AG90" s="551"/>
    </row>
    <row r="91" spans="1:33" x14ac:dyDescent="0.35">
      <c r="A91" s="551">
        <v>1957</v>
      </c>
      <c r="B91" s="19" t="s">
        <v>406</v>
      </c>
      <c r="C91" s="552">
        <v>5124688</v>
      </c>
      <c r="D91" s="552">
        <v>439689</v>
      </c>
      <c r="E91" s="552">
        <v>436420</v>
      </c>
      <c r="F91" s="552">
        <v>417058</v>
      </c>
      <c r="G91" s="552">
        <v>349882</v>
      </c>
      <c r="H91" s="552">
        <v>327821</v>
      </c>
      <c r="I91" s="552">
        <v>348974</v>
      </c>
      <c r="J91" s="552">
        <v>353341</v>
      </c>
      <c r="K91" s="552">
        <v>346356</v>
      </c>
      <c r="L91" s="552">
        <v>340990</v>
      </c>
      <c r="M91" s="552">
        <v>358739</v>
      </c>
      <c r="N91" s="552">
        <v>335598</v>
      </c>
      <c r="O91" s="552">
        <v>295725</v>
      </c>
      <c r="P91" s="552">
        <v>240810</v>
      </c>
      <c r="Q91" s="552">
        <v>195768</v>
      </c>
      <c r="R91" s="552">
        <v>152631</v>
      </c>
      <c r="S91" s="552">
        <v>104916</v>
      </c>
      <c r="T91" s="552">
        <v>56429</v>
      </c>
      <c r="U91" s="552">
        <v>23541</v>
      </c>
      <c r="V91" s="553" t="s">
        <v>407</v>
      </c>
      <c r="W91" s="553" t="s">
        <v>407</v>
      </c>
      <c r="X91" s="551"/>
      <c r="Y91" s="551"/>
      <c r="Z91" s="551"/>
      <c r="AA91" s="551"/>
      <c r="AB91" s="551"/>
      <c r="AC91" s="551"/>
      <c r="AD91" s="551"/>
      <c r="AE91" s="551"/>
      <c r="AF91" s="551"/>
      <c r="AG91" s="551"/>
    </row>
    <row r="92" spans="1:33" x14ac:dyDescent="0.35">
      <c r="A92" s="551">
        <v>1958</v>
      </c>
      <c r="B92" s="19" t="s">
        <v>406</v>
      </c>
      <c r="C92" s="552">
        <v>5141155</v>
      </c>
      <c r="D92" s="552">
        <v>447992</v>
      </c>
      <c r="E92" s="552">
        <v>425705</v>
      </c>
      <c r="F92" s="552">
        <v>429526</v>
      </c>
      <c r="G92" s="552">
        <v>357997</v>
      </c>
      <c r="H92" s="552">
        <v>329471</v>
      </c>
      <c r="I92" s="552">
        <v>343998</v>
      </c>
      <c r="J92" s="552">
        <v>348264</v>
      </c>
      <c r="K92" s="552">
        <v>357841</v>
      </c>
      <c r="L92" s="552">
        <v>323407</v>
      </c>
      <c r="M92" s="552">
        <v>356418</v>
      </c>
      <c r="N92" s="552">
        <v>337745</v>
      </c>
      <c r="O92" s="552">
        <v>303331</v>
      </c>
      <c r="P92" s="552">
        <v>242816</v>
      </c>
      <c r="Q92" s="552">
        <v>197770</v>
      </c>
      <c r="R92" s="552">
        <v>152922</v>
      </c>
      <c r="S92" s="552">
        <v>104653</v>
      </c>
      <c r="T92" s="552">
        <v>57150</v>
      </c>
      <c r="U92" s="552">
        <v>24149</v>
      </c>
      <c r="V92" s="553" t="s">
        <v>407</v>
      </c>
      <c r="W92" s="553" t="s">
        <v>407</v>
      </c>
      <c r="X92" s="551"/>
      <c r="Y92" s="551"/>
      <c r="Z92" s="551"/>
      <c r="AA92" s="551"/>
      <c r="AB92" s="551"/>
      <c r="AC92" s="551"/>
      <c r="AD92" s="551"/>
      <c r="AE92" s="551"/>
      <c r="AF92" s="551"/>
      <c r="AG92" s="551"/>
    </row>
    <row r="93" spans="1:33" x14ac:dyDescent="0.35">
      <c r="A93" s="551">
        <v>1959</v>
      </c>
      <c r="B93" s="19" t="s">
        <v>406</v>
      </c>
      <c r="C93" s="552">
        <v>5162622</v>
      </c>
      <c r="D93" s="552">
        <v>456322</v>
      </c>
      <c r="E93" s="552">
        <v>420589</v>
      </c>
      <c r="F93" s="552">
        <v>437179</v>
      </c>
      <c r="G93" s="552">
        <v>367864</v>
      </c>
      <c r="H93" s="552">
        <v>331108</v>
      </c>
      <c r="I93" s="552">
        <v>339581</v>
      </c>
      <c r="J93" s="552">
        <v>343652</v>
      </c>
      <c r="K93" s="552">
        <v>368874</v>
      </c>
      <c r="L93" s="552">
        <v>307728</v>
      </c>
      <c r="M93" s="552">
        <v>352914</v>
      </c>
      <c r="N93" s="552">
        <v>341505</v>
      </c>
      <c r="O93" s="552">
        <v>308655</v>
      </c>
      <c r="P93" s="552">
        <v>247496</v>
      </c>
      <c r="Q93" s="552">
        <v>198953</v>
      </c>
      <c r="R93" s="552">
        <v>153723</v>
      </c>
      <c r="S93" s="552">
        <v>104346</v>
      </c>
      <c r="T93" s="552">
        <v>57414</v>
      </c>
      <c r="U93" s="552">
        <v>24719</v>
      </c>
      <c r="V93" s="553" t="s">
        <v>407</v>
      </c>
      <c r="W93" s="553" t="s">
        <v>407</v>
      </c>
      <c r="X93" s="551"/>
      <c r="Y93" s="551"/>
      <c r="Z93" s="551"/>
      <c r="AA93" s="551"/>
      <c r="AB93" s="551"/>
      <c r="AC93" s="551"/>
      <c r="AD93" s="551"/>
      <c r="AE93" s="551"/>
      <c r="AF93" s="551"/>
      <c r="AG93" s="551"/>
    </row>
    <row r="94" spans="1:33" x14ac:dyDescent="0.35">
      <c r="A94" s="551">
        <v>1960</v>
      </c>
      <c r="B94" s="19" t="s">
        <v>406</v>
      </c>
      <c r="C94" s="552">
        <v>5177658</v>
      </c>
      <c r="D94" s="552">
        <v>463762</v>
      </c>
      <c r="E94" s="552">
        <v>418581</v>
      </c>
      <c r="F94" s="552">
        <v>444719</v>
      </c>
      <c r="G94" s="552">
        <v>371009</v>
      </c>
      <c r="H94" s="552">
        <v>333359</v>
      </c>
      <c r="I94" s="552">
        <v>333837</v>
      </c>
      <c r="J94" s="552">
        <v>338547</v>
      </c>
      <c r="K94" s="552">
        <v>355431</v>
      </c>
      <c r="L94" s="552">
        <v>313631</v>
      </c>
      <c r="M94" s="552">
        <v>351412</v>
      </c>
      <c r="N94" s="552">
        <v>341121</v>
      </c>
      <c r="O94" s="552">
        <v>312426</v>
      </c>
      <c r="P94" s="552">
        <v>253569</v>
      </c>
      <c r="Q94" s="552">
        <v>203350</v>
      </c>
      <c r="R94" s="552">
        <v>153194</v>
      </c>
      <c r="S94" s="552">
        <v>105069</v>
      </c>
      <c r="T94" s="552">
        <v>57956</v>
      </c>
      <c r="U94" s="552">
        <v>26685</v>
      </c>
      <c r="V94" s="553" t="s">
        <v>407</v>
      </c>
      <c r="W94" s="553" t="s">
        <v>407</v>
      </c>
      <c r="X94" s="551"/>
      <c r="Y94" s="551"/>
      <c r="Z94" s="551"/>
      <c r="AA94" s="551"/>
      <c r="AB94" s="551"/>
      <c r="AC94" s="551"/>
      <c r="AD94" s="551"/>
      <c r="AE94" s="551"/>
      <c r="AF94" s="551"/>
      <c r="AG94" s="551"/>
    </row>
    <row r="95" spans="1:33" x14ac:dyDescent="0.35">
      <c r="A95" s="551">
        <v>1961</v>
      </c>
      <c r="B95" s="19" t="s">
        <v>406</v>
      </c>
      <c r="C95" s="552">
        <v>5183836</v>
      </c>
      <c r="D95" s="552">
        <v>470056</v>
      </c>
      <c r="E95" s="552">
        <v>421296</v>
      </c>
      <c r="F95" s="552">
        <v>448361</v>
      </c>
      <c r="G95" s="552">
        <v>376370</v>
      </c>
      <c r="H95" s="552">
        <v>333558</v>
      </c>
      <c r="I95" s="552">
        <v>326724</v>
      </c>
      <c r="J95" s="552">
        <v>331906</v>
      </c>
      <c r="K95" s="552">
        <v>345357</v>
      </c>
      <c r="L95" s="552">
        <v>322347</v>
      </c>
      <c r="M95" s="552">
        <v>340548</v>
      </c>
      <c r="N95" s="552">
        <v>342694</v>
      </c>
      <c r="O95" s="552">
        <v>313216</v>
      </c>
      <c r="P95" s="552">
        <v>260727</v>
      </c>
      <c r="Q95" s="552">
        <v>204985</v>
      </c>
      <c r="R95" s="552">
        <v>154353</v>
      </c>
      <c r="S95" s="552">
        <v>105605</v>
      </c>
      <c r="T95" s="552">
        <v>58141</v>
      </c>
      <c r="U95" s="552">
        <v>27592</v>
      </c>
      <c r="V95" s="553" t="s">
        <v>407</v>
      </c>
      <c r="W95" s="553" t="s">
        <v>407</v>
      </c>
      <c r="X95" s="551"/>
      <c r="Y95" s="551"/>
      <c r="Z95" s="551"/>
      <c r="AA95" s="551"/>
      <c r="AB95" s="551"/>
      <c r="AC95" s="551"/>
      <c r="AD95" s="551"/>
      <c r="AE95" s="551"/>
      <c r="AF95" s="551"/>
      <c r="AG95" s="551"/>
    </row>
    <row r="96" spans="1:33" x14ac:dyDescent="0.35">
      <c r="A96" s="551">
        <v>1962</v>
      </c>
      <c r="B96" s="19" t="s">
        <v>406</v>
      </c>
      <c r="C96" s="552">
        <v>5197528</v>
      </c>
      <c r="D96" s="552">
        <v>477656</v>
      </c>
      <c r="E96" s="552">
        <v>427806</v>
      </c>
      <c r="F96" s="552">
        <v>423790</v>
      </c>
      <c r="G96" s="552">
        <v>397417</v>
      </c>
      <c r="H96" s="552">
        <v>336581</v>
      </c>
      <c r="I96" s="552">
        <v>324903</v>
      </c>
      <c r="J96" s="552">
        <v>329912</v>
      </c>
      <c r="K96" s="552">
        <v>337443</v>
      </c>
      <c r="L96" s="552">
        <v>333671</v>
      </c>
      <c r="M96" s="552">
        <v>328383</v>
      </c>
      <c r="N96" s="552">
        <v>342210</v>
      </c>
      <c r="O96" s="552">
        <v>314978</v>
      </c>
      <c r="P96" s="552">
        <v>267023</v>
      </c>
      <c r="Q96" s="552">
        <v>207823</v>
      </c>
      <c r="R96" s="552">
        <v>155375</v>
      </c>
      <c r="S96" s="552">
        <v>105679</v>
      </c>
      <c r="T96" s="552">
        <v>58570</v>
      </c>
      <c r="U96" s="552">
        <v>28308</v>
      </c>
      <c r="V96" s="553" t="s">
        <v>407</v>
      </c>
      <c r="W96" s="553" t="s">
        <v>407</v>
      </c>
      <c r="X96" s="551"/>
      <c r="Y96" s="551"/>
      <c r="Z96" s="551"/>
      <c r="AA96" s="551"/>
      <c r="AB96" s="551"/>
      <c r="AC96" s="551"/>
      <c r="AD96" s="551"/>
      <c r="AE96" s="551"/>
      <c r="AF96" s="551"/>
      <c r="AG96" s="551"/>
    </row>
    <row r="97" spans="1:33" x14ac:dyDescent="0.35">
      <c r="A97" s="551">
        <v>1963</v>
      </c>
      <c r="B97" s="19" t="s">
        <v>406</v>
      </c>
      <c r="C97" s="552">
        <v>5205100</v>
      </c>
      <c r="D97" s="552">
        <v>481230</v>
      </c>
      <c r="E97" s="552">
        <v>435481</v>
      </c>
      <c r="F97" s="552">
        <v>411512</v>
      </c>
      <c r="G97" s="552">
        <v>404461</v>
      </c>
      <c r="H97" s="552">
        <v>340036</v>
      </c>
      <c r="I97" s="552">
        <v>324972</v>
      </c>
      <c r="J97" s="552">
        <v>326638</v>
      </c>
      <c r="K97" s="552">
        <v>332735</v>
      </c>
      <c r="L97" s="552">
        <v>344617</v>
      </c>
      <c r="M97" s="552">
        <v>311683</v>
      </c>
      <c r="N97" s="552">
        <v>340191</v>
      </c>
      <c r="O97" s="552">
        <v>317032</v>
      </c>
      <c r="P97" s="552">
        <v>274391</v>
      </c>
      <c r="Q97" s="552">
        <v>209204</v>
      </c>
      <c r="R97" s="552">
        <v>157114</v>
      </c>
      <c r="S97" s="552">
        <v>106475</v>
      </c>
      <c r="T97" s="552">
        <v>58264</v>
      </c>
      <c r="U97" s="552">
        <v>29064</v>
      </c>
      <c r="V97" s="553" t="s">
        <v>407</v>
      </c>
      <c r="W97" s="553" t="s">
        <v>407</v>
      </c>
      <c r="X97" s="551"/>
      <c r="Y97" s="551"/>
      <c r="Z97" s="551"/>
      <c r="AA97" s="551"/>
      <c r="AB97" s="551"/>
      <c r="AC97" s="551"/>
      <c r="AD97" s="551"/>
      <c r="AE97" s="551"/>
      <c r="AF97" s="551"/>
      <c r="AG97" s="551"/>
    </row>
    <row r="98" spans="1:33" x14ac:dyDescent="0.35">
      <c r="A98" s="551">
        <v>1964</v>
      </c>
      <c r="B98" s="19" t="s">
        <v>406</v>
      </c>
      <c r="C98" s="552">
        <v>5208500</v>
      </c>
      <c r="D98" s="552">
        <v>483365</v>
      </c>
      <c r="E98" s="552">
        <v>442452</v>
      </c>
      <c r="F98" s="552">
        <v>405298</v>
      </c>
      <c r="G98" s="552">
        <v>406723</v>
      </c>
      <c r="H98" s="552">
        <v>341101</v>
      </c>
      <c r="I98" s="552">
        <v>323538</v>
      </c>
      <c r="J98" s="552">
        <v>322149</v>
      </c>
      <c r="K98" s="552">
        <v>327686</v>
      </c>
      <c r="L98" s="552">
        <v>354261</v>
      </c>
      <c r="M98" s="552">
        <v>296135</v>
      </c>
      <c r="N98" s="552">
        <v>336509</v>
      </c>
      <c r="O98" s="552">
        <v>320511</v>
      </c>
      <c r="P98" s="552">
        <v>279555</v>
      </c>
      <c r="Q98" s="552">
        <v>213076</v>
      </c>
      <c r="R98" s="552">
        <v>158398</v>
      </c>
      <c r="S98" s="552">
        <v>108288</v>
      </c>
      <c r="T98" s="552">
        <v>59168</v>
      </c>
      <c r="U98" s="552">
        <v>30287</v>
      </c>
      <c r="V98" s="553" t="s">
        <v>407</v>
      </c>
      <c r="W98" s="553" t="s">
        <v>407</v>
      </c>
      <c r="X98" s="551"/>
      <c r="Y98" s="551"/>
      <c r="Z98" s="551"/>
      <c r="AA98" s="551"/>
      <c r="AB98" s="551"/>
      <c r="AC98" s="551"/>
      <c r="AD98" s="551"/>
      <c r="AE98" s="551"/>
      <c r="AF98" s="551"/>
      <c r="AG98" s="551"/>
    </row>
    <row r="99" spans="1:33" x14ac:dyDescent="0.35">
      <c r="A99" s="551">
        <v>1965</v>
      </c>
      <c r="B99" s="19" t="s">
        <v>406</v>
      </c>
      <c r="C99" s="552">
        <v>5209900</v>
      </c>
      <c r="D99" s="552">
        <v>485488</v>
      </c>
      <c r="E99" s="552">
        <v>448842</v>
      </c>
      <c r="F99" s="552">
        <v>403384</v>
      </c>
      <c r="G99" s="552">
        <v>410425</v>
      </c>
      <c r="H99" s="552">
        <v>337518</v>
      </c>
      <c r="I99" s="552">
        <v>321495</v>
      </c>
      <c r="J99" s="552">
        <v>317486</v>
      </c>
      <c r="K99" s="552">
        <v>324120</v>
      </c>
      <c r="L99" s="552">
        <v>341296</v>
      </c>
      <c r="M99" s="552">
        <v>302101</v>
      </c>
      <c r="N99" s="552">
        <v>334792</v>
      </c>
      <c r="O99" s="552">
        <v>320625</v>
      </c>
      <c r="P99" s="552">
        <v>282885</v>
      </c>
      <c r="Q99" s="552">
        <v>218221</v>
      </c>
      <c r="R99" s="552">
        <v>161381</v>
      </c>
      <c r="S99" s="552">
        <v>108146</v>
      </c>
      <c r="T99" s="552">
        <v>60495</v>
      </c>
      <c r="U99" s="552">
        <v>31200</v>
      </c>
      <c r="V99" s="553" t="s">
        <v>407</v>
      </c>
      <c r="W99" s="553" t="s">
        <v>407</v>
      </c>
      <c r="X99" s="551"/>
      <c r="Y99" s="551"/>
      <c r="Z99" s="551"/>
      <c r="AA99" s="551"/>
      <c r="AB99" s="551"/>
      <c r="AC99" s="551"/>
      <c r="AD99" s="551"/>
      <c r="AE99" s="551"/>
      <c r="AF99" s="551"/>
      <c r="AG99" s="551"/>
    </row>
    <row r="100" spans="1:33" x14ac:dyDescent="0.35">
      <c r="A100" s="551">
        <v>1966</v>
      </c>
      <c r="B100" s="19" t="s">
        <v>406</v>
      </c>
      <c r="C100" s="552">
        <v>5200600</v>
      </c>
      <c r="D100" s="552">
        <v>480584</v>
      </c>
      <c r="E100" s="552">
        <v>453299</v>
      </c>
      <c r="F100" s="552">
        <v>406600</v>
      </c>
      <c r="G100" s="552">
        <v>411018</v>
      </c>
      <c r="H100" s="552">
        <v>337284</v>
      </c>
      <c r="I100" s="552">
        <v>315619</v>
      </c>
      <c r="J100" s="552">
        <v>311877</v>
      </c>
      <c r="K100" s="552">
        <v>319948</v>
      </c>
      <c r="L100" s="552">
        <v>332928</v>
      </c>
      <c r="M100" s="552">
        <v>310719</v>
      </c>
      <c r="N100" s="552">
        <v>325002</v>
      </c>
      <c r="O100" s="552">
        <v>321710</v>
      </c>
      <c r="P100" s="552">
        <v>284937</v>
      </c>
      <c r="Q100" s="552">
        <v>224496</v>
      </c>
      <c r="R100" s="552">
        <v>162609</v>
      </c>
      <c r="S100" s="552">
        <v>108664</v>
      </c>
      <c r="T100" s="552">
        <v>61465</v>
      </c>
      <c r="U100" s="552">
        <v>31841</v>
      </c>
      <c r="V100" s="553" t="s">
        <v>407</v>
      </c>
      <c r="W100" s="553" t="s">
        <v>407</v>
      </c>
      <c r="X100" s="551"/>
      <c r="Y100" s="551"/>
      <c r="Z100" s="551"/>
      <c r="AA100" s="551"/>
      <c r="AB100" s="551"/>
      <c r="AC100" s="551"/>
      <c r="AD100" s="551"/>
      <c r="AE100" s="551"/>
      <c r="AF100" s="551"/>
      <c r="AG100" s="551"/>
    </row>
    <row r="101" spans="1:33" x14ac:dyDescent="0.35">
      <c r="A101" s="551">
        <v>1967</v>
      </c>
      <c r="B101" s="19" t="s">
        <v>406</v>
      </c>
      <c r="C101" s="552">
        <v>5198300</v>
      </c>
      <c r="D101" s="552">
        <v>475442</v>
      </c>
      <c r="E101" s="552">
        <v>458412</v>
      </c>
      <c r="F101" s="552">
        <v>413132</v>
      </c>
      <c r="G101" s="552">
        <v>390367</v>
      </c>
      <c r="H101" s="552">
        <v>356080</v>
      </c>
      <c r="I101" s="552">
        <v>311806</v>
      </c>
      <c r="J101" s="552">
        <v>307704</v>
      </c>
      <c r="K101" s="552">
        <v>316587</v>
      </c>
      <c r="L101" s="552">
        <v>324938</v>
      </c>
      <c r="M101" s="552">
        <v>320419</v>
      </c>
      <c r="N101" s="552">
        <v>313731</v>
      </c>
      <c r="O101" s="552">
        <v>320657</v>
      </c>
      <c r="P101" s="552">
        <v>287195</v>
      </c>
      <c r="Q101" s="552">
        <v>230001</v>
      </c>
      <c r="R101" s="552">
        <v>165576</v>
      </c>
      <c r="S101" s="552">
        <v>110239</v>
      </c>
      <c r="T101" s="552">
        <v>62893</v>
      </c>
      <c r="U101" s="552">
        <v>33121</v>
      </c>
      <c r="V101" s="553" t="s">
        <v>407</v>
      </c>
      <c r="W101" s="553" t="s">
        <v>407</v>
      </c>
      <c r="X101" s="551"/>
      <c r="Y101" s="551"/>
      <c r="Z101" s="551"/>
      <c r="AA101" s="551"/>
      <c r="AB101" s="551"/>
      <c r="AC101" s="551"/>
      <c r="AD101" s="551"/>
      <c r="AE101" s="551"/>
      <c r="AF101" s="551"/>
      <c r="AG101" s="551"/>
    </row>
    <row r="102" spans="1:33" x14ac:dyDescent="0.35">
      <c r="A102" s="551">
        <v>1968</v>
      </c>
      <c r="B102" s="19" t="s">
        <v>406</v>
      </c>
      <c r="C102" s="552">
        <v>5200200</v>
      </c>
      <c r="D102" s="552">
        <v>468243</v>
      </c>
      <c r="E102" s="552">
        <v>461675</v>
      </c>
      <c r="F102" s="552">
        <v>421144</v>
      </c>
      <c r="G102" s="552">
        <v>383402</v>
      </c>
      <c r="H102" s="552">
        <v>365070</v>
      </c>
      <c r="I102" s="552">
        <v>311800</v>
      </c>
      <c r="J102" s="552">
        <v>306422</v>
      </c>
      <c r="K102" s="552">
        <v>312671</v>
      </c>
      <c r="L102" s="552">
        <v>320632</v>
      </c>
      <c r="M102" s="552">
        <v>330788</v>
      </c>
      <c r="N102" s="552">
        <v>297360</v>
      </c>
      <c r="O102" s="552">
        <v>318571</v>
      </c>
      <c r="P102" s="552">
        <v>289545</v>
      </c>
      <c r="Q102" s="552">
        <v>236916</v>
      </c>
      <c r="R102" s="552">
        <v>166875</v>
      </c>
      <c r="S102" s="552">
        <v>111765</v>
      </c>
      <c r="T102" s="552">
        <v>63716</v>
      </c>
      <c r="U102" s="552">
        <v>33605</v>
      </c>
      <c r="V102" s="553" t="s">
        <v>407</v>
      </c>
      <c r="W102" s="553" t="s">
        <v>407</v>
      </c>
      <c r="X102" s="551"/>
      <c r="Y102" s="551"/>
      <c r="Z102" s="551"/>
      <c r="AA102" s="551"/>
      <c r="AB102" s="551"/>
      <c r="AC102" s="551"/>
      <c r="AD102" s="551"/>
      <c r="AE102" s="551"/>
      <c r="AF102" s="551"/>
      <c r="AG102" s="551"/>
    </row>
    <row r="103" spans="1:33" x14ac:dyDescent="0.35">
      <c r="A103" s="551">
        <v>1969</v>
      </c>
      <c r="B103" s="19" t="s">
        <v>406</v>
      </c>
      <c r="C103" s="552">
        <v>5208500</v>
      </c>
      <c r="D103" s="552">
        <v>460113</v>
      </c>
      <c r="E103" s="552">
        <v>465393</v>
      </c>
      <c r="F103" s="552">
        <v>428876</v>
      </c>
      <c r="G103" s="552">
        <v>383012</v>
      </c>
      <c r="H103" s="552">
        <v>371867</v>
      </c>
      <c r="I103" s="552">
        <v>313683</v>
      </c>
      <c r="J103" s="552">
        <v>305580</v>
      </c>
      <c r="K103" s="552">
        <v>308321</v>
      </c>
      <c r="L103" s="552">
        <v>316328</v>
      </c>
      <c r="M103" s="552">
        <v>340485</v>
      </c>
      <c r="N103" s="552">
        <v>282460</v>
      </c>
      <c r="O103" s="552">
        <v>315500</v>
      </c>
      <c r="P103" s="552">
        <v>292544</v>
      </c>
      <c r="Q103" s="552">
        <v>241798</v>
      </c>
      <c r="R103" s="552">
        <v>170359</v>
      </c>
      <c r="S103" s="552">
        <v>112446</v>
      </c>
      <c r="T103" s="552">
        <v>65348</v>
      </c>
      <c r="U103" s="552">
        <v>34387</v>
      </c>
      <c r="V103" s="553" t="s">
        <v>407</v>
      </c>
      <c r="W103" s="553" t="s">
        <v>407</v>
      </c>
      <c r="X103" s="551"/>
      <c r="Y103" s="551"/>
      <c r="Z103" s="551"/>
      <c r="AA103" s="551"/>
      <c r="AB103" s="551"/>
      <c r="AC103" s="551"/>
      <c r="AD103" s="551"/>
      <c r="AE103" s="551"/>
      <c r="AF103" s="551"/>
      <c r="AG103" s="551"/>
    </row>
    <row r="104" spans="1:33" x14ac:dyDescent="0.35">
      <c r="A104" s="551">
        <v>1970</v>
      </c>
      <c r="B104" s="19" t="s">
        <v>406</v>
      </c>
      <c r="C104" s="552">
        <v>5213700</v>
      </c>
      <c r="D104" s="552">
        <v>449246</v>
      </c>
      <c r="E104" s="552">
        <v>469001</v>
      </c>
      <c r="F104" s="552">
        <v>436328</v>
      </c>
      <c r="G104" s="552">
        <v>385415</v>
      </c>
      <c r="H104" s="552">
        <v>380867</v>
      </c>
      <c r="I104" s="552">
        <v>313572</v>
      </c>
      <c r="J104" s="552">
        <v>303707</v>
      </c>
      <c r="K104" s="552">
        <v>303921</v>
      </c>
      <c r="L104" s="552">
        <v>313724</v>
      </c>
      <c r="M104" s="552">
        <v>327933</v>
      </c>
      <c r="N104" s="552">
        <v>288833</v>
      </c>
      <c r="O104" s="552">
        <v>313272</v>
      </c>
      <c r="P104" s="552">
        <v>292886</v>
      </c>
      <c r="Q104" s="552">
        <v>245033</v>
      </c>
      <c r="R104" s="552">
        <v>174696</v>
      </c>
      <c r="S104" s="552">
        <v>114126</v>
      </c>
      <c r="T104" s="552">
        <v>65601</v>
      </c>
      <c r="U104" s="552">
        <v>35539</v>
      </c>
      <c r="V104" s="553" t="s">
        <v>407</v>
      </c>
      <c r="W104" s="553" t="s">
        <v>407</v>
      </c>
      <c r="X104" s="551"/>
      <c r="Y104" s="551"/>
      <c r="Z104" s="551"/>
      <c r="AA104" s="551"/>
      <c r="AB104" s="551"/>
      <c r="AC104" s="551"/>
      <c r="AD104" s="551"/>
      <c r="AE104" s="551"/>
      <c r="AF104" s="551"/>
      <c r="AG104" s="551"/>
    </row>
    <row r="105" spans="1:33" x14ac:dyDescent="0.35">
      <c r="A105" s="551">
        <v>1971</v>
      </c>
      <c r="B105" s="19" t="s">
        <v>406</v>
      </c>
      <c r="C105" s="552">
        <v>5235600</v>
      </c>
      <c r="D105" s="552">
        <v>443406</v>
      </c>
      <c r="E105" s="552">
        <v>468587</v>
      </c>
      <c r="F105" s="552">
        <v>443534</v>
      </c>
      <c r="G105" s="552">
        <v>392819</v>
      </c>
      <c r="H105" s="552">
        <v>387990</v>
      </c>
      <c r="I105" s="552">
        <v>317526</v>
      </c>
      <c r="J105" s="552">
        <v>299818</v>
      </c>
      <c r="K105" s="552">
        <v>300563</v>
      </c>
      <c r="L105" s="552">
        <v>311207</v>
      </c>
      <c r="M105" s="552">
        <v>321847</v>
      </c>
      <c r="N105" s="552">
        <v>298003</v>
      </c>
      <c r="O105" s="552">
        <v>305712</v>
      </c>
      <c r="P105" s="552">
        <v>294302</v>
      </c>
      <c r="Q105" s="552">
        <v>248826</v>
      </c>
      <c r="R105" s="552">
        <v>181034</v>
      </c>
      <c r="S105" s="552">
        <v>116342</v>
      </c>
      <c r="T105" s="552">
        <v>66278</v>
      </c>
      <c r="U105" s="552">
        <v>37806</v>
      </c>
      <c r="V105" s="552">
        <v>28569</v>
      </c>
      <c r="W105" s="552">
        <v>9237</v>
      </c>
      <c r="X105" s="551"/>
      <c r="Y105" s="551"/>
      <c r="Z105" s="551"/>
      <c r="AA105" s="551"/>
      <c r="AB105" s="551"/>
      <c r="AC105" s="551"/>
      <c r="AD105" s="551"/>
      <c r="AE105" s="551"/>
      <c r="AF105" s="551"/>
      <c r="AG105" s="551"/>
    </row>
    <row r="106" spans="1:33" x14ac:dyDescent="0.35">
      <c r="A106" s="551">
        <v>1972</v>
      </c>
      <c r="B106" s="19" t="s">
        <v>406</v>
      </c>
      <c r="C106" s="552">
        <v>5230600</v>
      </c>
      <c r="D106" s="552">
        <v>429016</v>
      </c>
      <c r="E106" s="552">
        <v>466208</v>
      </c>
      <c r="F106" s="552">
        <v>449539</v>
      </c>
      <c r="G106" s="552">
        <v>399002</v>
      </c>
      <c r="H106" s="552">
        <v>371007</v>
      </c>
      <c r="I106" s="552">
        <v>339808</v>
      </c>
      <c r="J106" s="552">
        <v>298391</v>
      </c>
      <c r="K106" s="552">
        <v>297170</v>
      </c>
      <c r="L106" s="552">
        <v>308114</v>
      </c>
      <c r="M106" s="552">
        <v>314913</v>
      </c>
      <c r="N106" s="552">
        <v>307203</v>
      </c>
      <c r="O106" s="552">
        <v>296128</v>
      </c>
      <c r="P106" s="552">
        <v>293525</v>
      </c>
      <c r="Q106" s="552">
        <v>250919</v>
      </c>
      <c r="R106" s="552">
        <v>185451</v>
      </c>
      <c r="S106" s="552">
        <v>118509</v>
      </c>
      <c r="T106" s="552">
        <v>67221</v>
      </c>
      <c r="U106" s="552">
        <v>38476</v>
      </c>
      <c r="V106" s="552">
        <v>28860</v>
      </c>
      <c r="W106" s="552">
        <v>9616</v>
      </c>
      <c r="X106" s="551"/>
      <c r="Y106" s="551"/>
      <c r="Z106" s="551"/>
      <c r="AA106" s="551"/>
      <c r="AB106" s="551"/>
      <c r="AC106" s="551"/>
      <c r="AD106" s="551"/>
      <c r="AE106" s="551"/>
      <c r="AF106" s="551"/>
      <c r="AG106" s="551"/>
    </row>
    <row r="107" spans="1:33" x14ac:dyDescent="0.35">
      <c r="A107" s="551">
        <v>1973</v>
      </c>
      <c r="B107" s="19" t="s">
        <v>406</v>
      </c>
      <c r="C107" s="552">
        <v>5233900</v>
      </c>
      <c r="D107" s="552">
        <v>413796</v>
      </c>
      <c r="E107" s="552">
        <v>461734</v>
      </c>
      <c r="F107" s="552">
        <v>455066</v>
      </c>
      <c r="G107" s="552">
        <v>408251</v>
      </c>
      <c r="H107" s="552">
        <v>366974</v>
      </c>
      <c r="I107" s="552">
        <v>351443</v>
      </c>
      <c r="J107" s="552">
        <v>299968</v>
      </c>
      <c r="K107" s="552">
        <v>297083</v>
      </c>
      <c r="L107" s="552">
        <v>304693</v>
      </c>
      <c r="M107" s="552">
        <v>311551</v>
      </c>
      <c r="N107" s="552">
        <v>317659</v>
      </c>
      <c r="O107" s="552">
        <v>280924</v>
      </c>
      <c r="P107" s="552">
        <v>292297</v>
      </c>
      <c r="Q107" s="552">
        <v>253385</v>
      </c>
      <c r="R107" s="552">
        <v>191501</v>
      </c>
      <c r="S107" s="552">
        <v>120219</v>
      </c>
      <c r="T107" s="552">
        <v>68164</v>
      </c>
      <c r="U107" s="552">
        <v>39192</v>
      </c>
      <c r="V107" s="552">
        <v>29106</v>
      </c>
      <c r="W107" s="552">
        <v>10086</v>
      </c>
      <c r="X107" s="551"/>
      <c r="Y107" s="551"/>
      <c r="Z107" s="551"/>
      <c r="AA107" s="551"/>
      <c r="AB107" s="551"/>
      <c r="AC107" s="551"/>
      <c r="AD107" s="551"/>
      <c r="AE107" s="551"/>
      <c r="AF107" s="551"/>
      <c r="AG107" s="551"/>
    </row>
    <row r="108" spans="1:33" x14ac:dyDescent="0.35">
      <c r="A108" s="551">
        <v>1974</v>
      </c>
      <c r="B108" s="19" t="s">
        <v>406</v>
      </c>
      <c r="C108" s="552">
        <v>5240800</v>
      </c>
      <c r="D108" s="552">
        <v>394797</v>
      </c>
      <c r="E108" s="552">
        <v>454892</v>
      </c>
      <c r="F108" s="552">
        <v>461284</v>
      </c>
      <c r="G108" s="552">
        <v>416867</v>
      </c>
      <c r="H108" s="552">
        <v>368707</v>
      </c>
      <c r="I108" s="552">
        <v>361558</v>
      </c>
      <c r="J108" s="552">
        <v>305171</v>
      </c>
      <c r="K108" s="552">
        <v>298175</v>
      </c>
      <c r="L108" s="552">
        <v>301047</v>
      </c>
      <c r="M108" s="552">
        <v>308434</v>
      </c>
      <c r="N108" s="552">
        <v>327594</v>
      </c>
      <c r="O108" s="552">
        <v>267177</v>
      </c>
      <c r="P108" s="552">
        <v>290487</v>
      </c>
      <c r="Q108" s="552">
        <v>256657</v>
      </c>
      <c r="R108" s="552">
        <v>196013</v>
      </c>
      <c r="S108" s="552">
        <v>123167</v>
      </c>
      <c r="T108" s="552">
        <v>68559</v>
      </c>
      <c r="U108" s="552">
        <v>40214</v>
      </c>
      <c r="V108" s="552">
        <v>29937</v>
      </c>
      <c r="W108" s="552">
        <v>10277</v>
      </c>
      <c r="X108" s="551"/>
      <c r="Y108" s="551"/>
      <c r="Z108" s="551"/>
      <c r="AA108" s="551"/>
      <c r="AB108" s="551"/>
      <c r="AC108" s="551"/>
      <c r="AD108" s="551"/>
      <c r="AE108" s="551"/>
      <c r="AF108" s="551"/>
      <c r="AG108" s="551"/>
    </row>
    <row r="109" spans="1:33" x14ac:dyDescent="0.35">
      <c r="A109" s="551">
        <v>1975</v>
      </c>
      <c r="B109" s="19" t="s">
        <v>406</v>
      </c>
      <c r="C109" s="552">
        <v>5232400</v>
      </c>
      <c r="D109" s="552">
        <v>375733</v>
      </c>
      <c r="E109" s="552">
        <v>444300</v>
      </c>
      <c r="F109" s="552">
        <v>466537</v>
      </c>
      <c r="G109" s="552">
        <v>423991</v>
      </c>
      <c r="H109" s="552">
        <v>367781</v>
      </c>
      <c r="I109" s="552">
        <v>370052</v>
      </c>
      <c r="J109" s="552">
        <v>307583</v>
      </c>
      <c r="K109" s="552">
        <v>297973</v>
      </c>
      <c r="L109" s="552">
        <v>297162</v>
      </c>
      <c r="M109" s="552">
        <v>306663</v>
      </c>
      <c r="N109" s="552">
        <v>316354</v>
      </c>
      <c r="O109" s="552">
        <v>274180</v>
      </c>
      <c r="P109" s="552">
        <v>289109</v>
      </c>
      <c r="Q109" s="552">
        <v>257848</v>
      </c>
      <c r="R109" s="552">
        <v>199173</v>
      </c>
      <c r="S109" s="552">
        <v>127275</v>
      </c>
      <c r="T109" s="552">
        <v>69851</v>
      </c>
      <c r="U109" s="552">
        <v>40835</v>
      </c>
      <c r="V109" s="552">
        <v>30093</v>
      </c>
      <c r="W109" s="552">
        <v>10742</v>
      </c>
      <c r="X109" s="551"/>
      <c r="Y109" s="551"/>
      <c r="Z109" s="551"/>
      <c r="AA109" s="551"/>
      <c r="AB109" s="551"/>
      <c r="AC109" s="551"/>
      <c r="AD109" s="551"/>
      <c r="AE109" s="551"/>
      <c r="AF109" s="551"/>
      <c r="AG109" s="551"/>
    </row>
    <row r="110" spans="1:33" x14ac:dyDescent="0.35">
      <c r="A110" s="551">
        <v>1976</v>
      </c>
      <c r="B110" s="19" t="s">
        <v>406</v>
      </c>
      <c r="C110" s="552">
        <v>5233400</v>
      </c>
      <c r="D110" s="552">
        <v>357452</v>
      </c>
      <c r="E110" s="552">
        <v>437750</v>
      </c>
      <c r="F110" s="552">
        <v>466142</v>
      </c>
      <c r="G110" s="552">
        <v>432147</v>
      </c>
      <c r="H110" s="552">
        <v>374058</v>
      </c>
      <c r="I110" s="552">
        <v>377566</v>
      </c>
      <c r="J110" s="552">
        <v>314515</v>
      </c>
      <c r="K110" s="552">
        <v>296014</v>
      </c>
      <c r="L110" s="552">
        <v>295013</v>
      </c>
      <c r="M110" s="552">
        <v>303821</v>
      </c>
      <c r="N110" s="552">
        <v>310761</v>
      </c>
      <c r="O110" s="552">
        <v>282458</v>
      </c>
      <c r="P110" s="552">
        <v>281734</v>
      </c>
      <c r="Q110" s="552">
        <v>258052</v>
      </c>
      <c r="R110" s="552">
        <v>201959</v>
      </c>
      <c r="S110" s="552">
        <v>131453</v>
      </c>
      <c r="T110" s="552">
        <v>70892</v>
      </c>
      <c r="U110" s="552">
        <v>41613</v>
      </c>
      <c r="V110" s="552">
        <v>30932</v>
      </c>
      <c r="W110" s="552">
        <v>10681</v>
      </c>
      <c r="X110" s="551"/>
      <c r="Y110" s="551"/>
      <c r="Z110" s="551"/>
      <c r="AA110" s="551"/>
      <c r="AB110" s="551"/>
      <c r="AC110" s="551"/>
      <c r="AD110" s="551"/>
      <c r="AE110" s="551"/>
      <c r="AF110" s="551"/>
      <c r="AG110" s="551"/>
    </row>
    <row r="111" spans="1:33" x14ac:dyDescent="0.35">
      <c r="A111" s="551">
        <v>1977</v>
      </c>
      <c r="B111" s="19" t="s">
        <v>406</v>
      </c>
      <c r="C111" s="552">
        <v>5226200</v>
      </c>
      <c r="D111" s="552">
        <v>337642</v>
      </c>
      <c r="E111" s="552">
        <v>425076</v>
      </c>
      <c r="F111" s="552">
        <v>464920</v>
      </c>
      <c r="G111" s="552">
        <v>440902</v>
      </c>
      <c r="H111" s="552">
        <v>382707</v>
      </c>
      <c r="I111" s="552">
        <v>362986</v>
      </c>
      <c r="J111" s="552">
        <v>338189</v>
      </c>
      <c r="K111" s="552">
        <v>296068</v>
      </c>
      <c r="L111" s="552">
        <v>293552</v>
      </c>
      <c r="M111" s="552">
        <v>302204</v>
      </c>
      <c r="N111" s="552">
        <v>304958</v>
      </c>
      <c r="O111" s="552">
        <v>292027</v>
      </c>
      <c r="P111" s="552">
        <v>272372</v>
      </c>
      <c r="Q111" s="552">
        <v>257732</v>
      </c>
      <c r="R111" s="552">
        <v>204305</v>
      </c>
      <c r="S111" s="552">
        <v>135097</v>
      </c>
      <c r="T111" s="552">
        <v>72993</v>
      </c>
      <c r="U111" s="552">
        <v>42470</v>
      </c>
      <c r="V111" s="552">
        <v>31635</v>
      </c>
      <c r="W111" s="552">
        <v>10835</v>
      </c>
      <c r="X111" s="551"/>
      <c r="Y111" s="551"/>
      <c r="Z111" s="551"/>
      <c r="AA111" s="551"/>
      <c r="AB111" s="551"/>
      <c r="AC111" s="551"/>
      <c r="AD111" s="551"/>
      <c r="AE111" s="551"/>
      <c r="AF111" s="551"/>
      <c r="AG111" s="551"/>
    </row>
    <row r="112" spans="1:33" x14ac:dyDescent="0.35">
      <c r="A112" s="551">
        <v>1978</v>
      </c>
      <c r="B112" s="19" t="s">
        <v>406</v>
      </c>
      <c r="C112" s="552">
        <v>5212300</v>
      </c>
      <c r="D112" s="552">
        <v>324175</v>
      </c>
      <c r="E112" s="552">
        <v>408212</v>
      </c>
      <c r="F112" s="552">
        <v>460161</v>
      </c>
      <c r="G112" s="552">
        <v>447326</v>
      </c>
      <c r="H112" s="552">
        <v>390538</v>
      </c>
      <c r="I112" s="552">
        <v>356411</v>
      </c>
      <c r="J112" s="552">
        <v>350009</v>
      </c>
      <c r="K112" s="552">
        <v>298695</v>
      </c>
      <c r="L112" s="552">
        <v>294472</v>
      </c>
      <c r="M112" s="552">
        <v>299095</v>
      </c>
      <c r="N112" s="552">
        <v>302023</v>
      </c>
      <c r="O112" s="552">
        <v>301695</v>
      </c>
      <c r="P112" s="552">
        <v>258399</v>
      </c>
      <c r="Q112" s="552">
        <v>256616</v>
      </c>
      <c r="R112" s="552">
        <v>206813</v>
      </c>
      <c r="S112" s="552">
        <v>139615</v>
      </c>
      <c r="T112" s="552">
        <v>74324</v>
      </c>
      <c r="U112" s="552">
        <v>43721</v>
      </c>
      <c r="V112" s="552">
        <v>32660</v>
      </c>
      <c r="W112" s="552">
        <v>11061</v>
      </c>
      <c r="X112" s="551"/>
      <c r="Y112" s="551"/>
      <c r="Z112" s="551"/>
      <c r="AA112" s="551"/>
      <c r="AB112" s="551"/>
      <c r="AC112" s="551"/>
      <c r="AD112" s="551"/>
      <c r="AE112" s="551"/>
      <c r="AF112" s="551"/>
      <c r="AG112" s="551"/>
    </row>
    <row r="113" spans="1:33" x14ac:dyDescent="0.35">
      <c r="A113" s="551">
        <v>1979</v>
      </c>
      <c r="B113" s="19" t="s">
        <v>406</v>
      </c>
      <c r="C113" s="552">
        <v>5203600</v>
      </c>
      <c r="D113" s="552">
        <v>319027</v>
      </c>
      <c r="E113" s="552">
        <v>387800</v>
      </c>
      <c r="F113" s="552">
        <v>453076</v>
      </c>
      <c r="G113" s="552">
        <v>453777</v>
      </c>
      <c r="H113" s="552">
        <v>398825</v>
      </c>
      <c r="I113" s="552">
        <v>353838</v>
      </c>
      <c r="J113" s="552">
        <v>357794</v>
      </c>
      <c r="K113" s="552">
        <v>302998</v>
      </c>
      <c r="L113" s="552">
        <v>295574</v>
      </c>
      <c r="M113" s="552">
        <v>295920</v>
      </c>
      <c r="N113" s="552">
        <v>299013</v>
      </c>
      <c r="O113" s="552">
        <v>310838</v>
      </c>
      <c r="P113" s="552">
        <v>245895</v>
      </c>
      <c r="Q113" s="552">
        <v>255162</v>
      </c>
      <c r="R113" s="552">
        <v>209436</v>
      </c>
      <c r="S113" s="552">
        <v>143405</v>
      </c>
      <c r="T113" s="552">
        <v>76233</v>
      </c>
      <c r="U113" s="552">
        <v>44989</v>
      </c>
      <c r="V113" s="552">
        <v>33171</v>
      </c>
      <c r="W113" s="552">
        <v>11818</v>
      </c>
      <c r="X113" s="551"/>
      <c r="Y113" s="551"/>
      <c r="Z113" s="551"/>
      <c r="AA113" s="551"/>
      <c r="AB113" s="551"/>
      <c r="AC113" s="551"/>
      <c r="AD113" s="551"/>
      <c r="AE113" s="551"/>
      <c r="AF113" s="551"/>
      <c r="AG113" s="551"/>
    </row>
    <row r="114" spans="1:33" x14ac:dyDescent="0.35">
      <c r="A114" s="551">
        <v>1980</v>
      </c>
      <c r="B114" s="19" t="s">
        <v>406</v>
      </c>
      <c r="C114" s="552">
        <v>5193900</v>
      </c>
      <c r="D114" s="552">
        <v>317521</v>
      </c>
      <c r="E114" s="552">
        <v>368198</v>
      </c>
      <c r="F114" s="552">
        <v>441027</v>
      </c>
      <c r="G114" s="552">
        <v>460171</v>
      </c>
      <c r="H114" s="552">
        <v>407701</v>
      </c>
      <c r="I114" s="552">
        <v>353111</v>
      </c>
      <c r="J114" s="552">
        <v>364940</v>
      </c>
      <c r="K114" s="552">
        <v>304399</v>
      </c>
      <c r="L114" s="552">
        <v>295706</v>
      </c>
      <c r="M114" s="552">
        <v>292988</v>
      </c>
      <c r="N114" s="552">
        <v>297501</v>
      </c>
      <c r="O114" s="552">
        <v>300387</v>
      </c>
      <c r="P114" s="552">
        <v>252898</v>
      </c>
      <c r="Q114" s="552">
        <v>253794</v>
      </c>
      <c r="R114" s="552">
        <v>211198</v>
      </c>
      <c r="S114" s="552">
        <v>146228</v>
      </c>
      <c r="T114" s="552">
        <v>79453</v>
      </c>
      <c r="U114" s="552">
        <v>46679</v>
      </c>
      <c r="V114" s="552">
        <v>34477</v>
      </c>
      <c r="W114" s="552">
        <v>12202</v>
      </c>
      <c r="X114" s="551"/>
      <c r="Y114" s="551"/>
      <c r="Z114" s="551"/>
      <c r="AA114" s="551"/>
      <c r="AB114" s="551"/>
      <c r="AC114" s="551"/>
      <c r="AD114" s="551"/>
      <c r="AE114" s="551"/>
      <c r="AF114" s="551"/>
      <c r="AG114" s="551"/>
    </row>
    <row r="115" spans="1:33" x14ac:dyDescent="0.35">
      <c r="A115" s="551">
        <v>1981</v>
      </c>
      <c r="B115" s="19" t="s">
        <v>406</v>
      </c>
      <c r="C115" s="552">
        <v>5180200</v>
      </c>
      <c r="D115" s="552">
        <v>317908</v>
      </c>
      <c r="E115" s="552">
        <v>347713</v>
      </c>
      <c r="F115" s="552">
        <v>432712</v>
      </c>
      <c r="G115" s="552">
        <v>459314</v>
      </c>
      <c r="H115" s="552">
        <v>415432</v>
      </c>
      <c r="I115" s="552">
        <v>355317</v>
      </c>
      <c r="J115" s="552">
        <v>368401</v>
      </c>
      <c r="K115" s="552">
        <v>310168</v>
      </c>
      <c r="L115" s="552">
        <v>292742</v>
      </c>
      <c r="M115" s="552">
        <v>290564</v>
      </c>
      <c r="N115" s="552">
        <v>294669</v>
      </c>
      <c r="O115" s="552">
        <v>294980</v>
      </c>
      <c r="P115" s="552">
        <v>260421</v>
      </c>
      <c r="Q115" s="552">
        <v>248152</v>
      </c>
      <c r="R115" s="552">
        <v>211394</v>
      </c>
      <c r="S115" s="552">
        <v>149112</v>
      </c>
      <c r="T115" s="552">
        <v>82531</v>
      </c>
      <c r="U115" s="552">
        <v>48670</v>
      </c>
      <c r="V115" s="552">
        <v>35099</v>
      </c>
      <c r="W115" s="552">
        <v>13571</v>
      </c>
      <c r="X115" s="551"/>
      <c r="Y115" s="551"/>
      <c r="Z115" s="551"/>
      <c r="AA115" s="551"/>
      <c r="AB115" s="551"/>
      <c r="AC115" s="551"/>
      <c r="AD115" s="551"/>
      <c r="AE115" s="551"/>
      <c r="AF115" s="551"/>
      <c r="AG115" s="551"/>
    </row>
    <row r="116" spans="1:33" x14ac:dyDescent="0.35">
      <c r="A116" s="551">
        <v>1982</v>
      </c>
      <c r="B116" s="19" t="s">
        <v>406</v>
      </c>
      <c r="C116" s="552">
        <v>5164540</v>
      </c>
      <c r="D116" s="552">
        <v>324298</v>
      </c>
      <c r="E116" s="552">
        <v>327745</v>
      </c>
      <c r="F116" s="552">
        <v>418592</v>
      </c>
      <c r="G116" s="552">
        <v>457509</v>
      </c>
      <c r="H116" s="552">
        <v>423327</v>
      </c>
      <c r="I116" s="552">
        <v>361953</v>
      </c>
      <c r="J116" s="552">
        <v>351880</v>
      </c>
      <c r="K116" s="552">
        <v>331294</v>
      </c>
      <c r="L116" s="552">
        <v>292046</v>
      </c>
      <c r="M116" s="552">
        <v>288096</v>
      </c>
      <c r="N116" s="552">
        <v>293274</v>
      </c>
      <c r="O116" s="552">
        <v>289370</v>
      </c>
      <c r="P116" s="552">
        <v>269563</v>
      </c>
      <c r="Q116" s="552">
        <v>239415</v>
      </c>
      <c r="R116" s="552">
        <v>211335</v>
      </c>
      <c r="S116" s="552">
        <v>150597</v>
      </c>
      <c r="T116" s="552">
        <v>84861</v>
      </c>
      <c r="U116" s="552">
        <v>49385</v>
      </c>
      <c r="V116" s="552">
        <v>35676</v>
      </c>
      <c r="W116" s="552">
        <v>13709</v>
      </c>
      <c r="X116" s="551"/>
      <c r="Y116" s="551"/>
      <c r="Z116" s="551"/>
      <c r="AA116" s="551"/>
      <c r="AB116" s="551"/>
      <c r="AC116" s="551"/>
      <c r="AD116" s="551"/>
      <c r="AE116" s="551"/>
      <c r="AF116" s="551"/>
      <c r="AG116" s="551"/>
    </row>
    <row r="117" spans="1:33" x14ac:dyDescent="0.35">
      <c r="A117" s="551">
        <v>1983</v>
      </c>
      <c r="B117" s="19" t="s">
        <v>406</v>
      </c>
      <c r="C117" s="552">
        <v>5148120</v>
      </c>
      <c r="D117" s="552">
        <v>328507</v>
      </c>
      <c r="E117" s="552">
        <v>314315</v>
      </c>
      <c r="F117" s="552">
        <v>400934</v>
      </c>
      <c r="G117" s="552">
        <v>452228</v>
      </c>
      <c r="H117" s="552">
        <v>430269</v>
      </c>
      <c r="I117" s="552">
        <v>368318</v>
      </c>
      <c r="J117" s="552">
        <v>343956</v>
      </c>
      <c r="K117" s="552">
        <v>342089</v>
      </c>
      <c r="L117" s="552">
        <v>294214</v>
      </c>
      <c r="M117" s="552">
        <v>288735</v>
      </c>
      <c r="N117" s="552">
        <v>290236</v>
      </c>
      <c r="O117" s="552">
        <v>286698</v>
      </c>
      <c r="P117" s="552">
        <v>278317</v>
      </c>
      <c r="Q117" s="552">
        <v>227266</v>
      </c>
      <c r="R117" s="552">
        <v>210476</v>
      </c>
      <c r="S117" s="552">
        <v>153022</v>
      </c>
      <c r="T117" s="552">
        <v>87732</v>
      </c>
      <c r="U117" s="552">
        <v>50808</v>
      </c>
      <c r="V117" s="552">
        <v>36615</v>
      </c>
      <c r="W117" s="552">
        <v>14193</v>
      </c>
      <c r="X117" s="551"/>
      <c r="Y117" s="551"/>
      <c r="Z117" s="551"/>
      <c r="AA117" s="551"/>
      <c r="AB117" s="551"/>
      <c r="AC117" s="551"/>
      <c r="AD117" s="551"/>
      <c r="AE117" s="551"/>
      <c r="AF117" s="551"/>
      <c r="AG117" s="551"/>
    </row>
    <row r="118" spans="1:33" x14ac:dyDescent="0.35">
      <c r="A118" s="551">
        <v>1984</v>
      </c>
      <c r="B118" s="19" t="s">
        <v>406</v>
      </c>
      <c r="C118" s="552">
        <v>5138880</v>
      </c>
      <c r="D118" s="552">
        <v>327542</v>
      </c>
      <c r="E118" s="552">
        <v>310661</v>
      </c>
      <c r="F118" s="552">
        <v>380642</v>
      </c>
      <c r="G118" s="552">
        <v>444036</v>
      </c>
      <c r="H118" s="552">
        <v>437748</v>
      </c>
      <c r="I118" s="552">
        <v>377189</v>
      </c>
      <c r="J118" s="552">
        <v>341179</v>
      </c>
      <c r="K118" s="552">
        <v>349500</v>
      </c>
      <c r="L118" s="552">
        <v>297360</v>
      </c>
      <c r="M118" s="552">
        <v>289567</v>
      </c>
      <c r="N118" s="552">
        <v>287077</v>
      </c>
      <c r="O118" s="552">
        <v>284356</v>
      </c>
      <c r="P118" s="552">
        <v>286864</v>
      </c>
      <c r="Q118" s="552">
        <v>216600</v>
      </c>
      <c r="R118" s="552">
        <v>210088</v>
      </c>
      <c r="S118" s="552">
        <v>155002</v>
      </c>
      <c r="T118" s="552">
        <v>91197</v>
      </c>
      <c r="U118" s="552">
        <v>52272</v>
      </c>
      <c r="V118" s="552">
        <v>37715</v>
      </c>
      <c r="W118" s="552">
        <v>14557</v>
      </c>
      <c r="X118" s="551"/>
      <c r="Y118" s="551"/>
      <c r="Z118" s="551"/>
      <c r="AA118" s="551"/>
      <c r="AB118" s="551"/>
      <c r="AC118" s="551"/>
      <c r="AD118" s="551"/>
      <c r="AE118" s="551"/>
      <c r="AF118" s="551"/>
      <c r="AG118" s="551"/>
    </row>
    <row r="119" spans="1:33" x14ac:dyDescent="0.35">
      <c r="A119" s="551">
        <v>1985</v>
      </c>
      <c r="B119" s="19" t="s">
        <v>406</v>
      </c>
      <c r="C119" s="552">
        <v>5127890</v>
      </c>
      <c r="D119" s="552">
        <v>325255</v>
      </c>
      <c r="E119" s="552">
        <v>310556</v>
      </c>
      <c r="F119" s="552">
        <v>362257</v>
      </c>
      <c r="G119" s="552">
        <v>430783</v>
      </c>
      <c r="H119" s="552">
        <v>442531</v>
      </c>
      <c r="I119" s="552">
        <v>386661</v>
      </c>
      <c r="J119" s="552">
        <v>341534</v>
      </c>
      <c r="K119" s="552">
        <v>356952</v>
      </c>
      <c r="L119" s="552">
        <v>298771</v>
      </c>
      <c r="M119" s="552">
        <v>289626</v>
      </c>
      <c r="N119" s="552">
        <v>284325</v>
      </c>
      <c r="O119" s="552">
        <v>283295</v>
      </c>
      <c r="P119" s="552">
        <v>277586</v>
      </c>
      <c r="Q119" s="552">
        <v>223693</v>
      </c>
      <c r="R119" s="552">
        <v>208835</v>
      </c>
      <c r="S119" s="552">
        <v>156808</v>
      </c>
      <c r="T119" s="552">
        <v>93399</v>
      </c>
      <c r="U119" s="552">
        <v>55023</v>
      </c>
      <c r="V119" s="552">
        <v>40025</v>
      </c>
      <c r="W119" s="552">
        <v>14998</v>
      </c>
      <c r="X119" s="551"/>
      <c r="Y119" s="551"/>
      <c r="Z119" s="551"/>
      <c r="AA119" s="551"/>
      <c r="AB119" s="551"/>
      <c r="AC119" s="551"/>
      <c r="AD119" s="551"/>
      <c r="AE119" s="551"/>
      <c r="AF119" s="551"/>
      <c r="AG119" s="551"/>
    </row>
    <row r="120" spans="1:33" x14ac:dyDescent="0.35">
      <c r="A120" s="551">
        <v>1986</v>
      </c>
      <c r="B120" s="19" t="s">
        <v>406</v>
      </c>
      <c r="C120" s="552">
        <v>5111760</v>
      </c>
      <c r="D120" s="552">
        <v>323327</v>
      </c>
      <c r="E120" s="552">
        <v>313040</v>
      </c>
      <c r="F120" s="552">
        <v>343154</v>
      </c>
      <c r="G120" s="552">
        <v>422926</v>
      </c>
      <c r="H120" s="552">
        <v>439966</v>
      </c>
      <c r="I120" s="552">
        <v>394316</v>
      </c>
      <c r="J120" s="552">
        <v>344418</v>
      </c>
      <c r="K120" s="552">
        <v>360550</v>
      </c>
      <c r="L120" s="552">
        <v>304435</v>
      </c>
      <c r="M120" s="552">
        <v>286480</v>
      </c>
      <c r="N120" s="552">
        <v>281625</v>
      </c>
      <c r="O120" s="552">
        <v>280790</v>
      </c>
      <c r="P120" s="552">
        <v>273161</v>
      </c>
      <c r="Q120" s="552">
        <v>230513</v>
      </c>
      <c r="R120" s="552">
        <v>204348</v>
      </c>
      <c r="S120" s="552">
        <v>156761</v>
      </c>
      <c r="T120" s="552">
        <v>95155</v>
      </c>
      <c r="U120" s="552">
        <v>56795</v>
      </c>
      <c r="V120" s="552">
        <v>41588</v>
      </c>
      <c r="W120" s="552">
        <v>15207</v>
      </c>
      <c r="X120" s="551"/>
      <c r="Y120" s="551"/>
      <c r="Z120" s="551"/>
      <c r="AA120" s="551"/>
      <c r="AB120" s="551"/>
      <c r="AC120" s="551"/>
      <c r="AD120" s="551"/>
      <c r="AE120" s="551"/>
      <c r="AF120" s="551"/>
      <c r="AG120" s="551"/>
    </row>
    <row r="121" spans="1:33" x14ac:dyDescent="0.35">
      <c r="A121" s="551">
        <v>1987</v>
      </c>
      <c r="B121" s="19" t="s">
        <v>406</v>
      </c>
      <c r="C121" s="552">
        <v>5099020</v>
      </c>
      <c r="D121" s="552">
        <v>322152</v>
      </c>
      <c r="E121" s="552">
        <v>318745</v>
      </c>
      <c r="F121" s="552">
        <v>323828</v>
      </c>
      <c r="G121" s="552">
        <v>409898</v>
      </c>
      <c r="H121" s="552">
        <v>437063</v>
      </c>
      <c r="I121" s="552">
        <v>400695</v>
      </c>
      <c r="J121" s="552">
        <v>350620</v>
      </c>
      <c r="K121" s="552">
        <v>343819</v>
      </c>
      <c r="L121" s="552">
        <v>325554</v>
      </c>
      <c r="M121" s="552">
        <v>285999</v>
      </c>
      <c r="N121" s="552">
        <v>279829</v>
      </c>
      <c r="O121" s="552">
        <v>279973</v>
      </c>
      <c r="P121" s="552">
        <v>268579</v>
      </c>
      <c r="Q121" s="552">
        <v>239671</v>
      </c>
      <c r="R121" s="552">
        <v>197998</v>
      </c>
      <c r="S121" s="552">
        <v>157688</v>
      </c>
      <c r="T121" s="552">
        <v>97191</v>
      </c>
      <c r="U121" s="552">
        <v>59718</v>
      </c>
      <c r="V121" s="552">
        <v>43691</v>
      </c>
      <c r="W121" s="552">
        <v>16027</v>
      </c>
      <c r="X121" s="551"/>
      <c r="Y121" s="551"/>
      <c r="Z121" s="551"/>
      <c r="AA121" s="551"/>
      <c r="AB121" s="551"/>
      <c r="AC121" s="551"/>
      <c r="AD121" s="551"/>
      <c r="AE121" s="551"/>
      <c r="AF121" s="551"/>
      <c r="AG121" s="551"/>
    </row>
    <row r="122" spans="1:33" x14ac:dyDescent="0.35">
      <c r="A122" s="551">
        <v>1988</v>
      </c>
      <c r="B122" s="19" t="s">
        <v>406</v>
      </c>
      <c r="C122" s="552">
        <v>5077440</v>
      </c>
      <c r="D122" s="552">
        <v>322460</v>
      </c>
      <c r="E122" s="552">
        <v>322042</v>
      </c>
      <c r="F122" s="552">
        <v>310507</v>
      </c>
      <c r="G122" s="552">
        <v>391983</v>
      </c>
      <c r="H122" s="552">
        <v>429443</v>
      </c>
      <c r="I122" s="552">
        <v>403111</v>
      </c>
      <c r="J122" s="552">
        <v>355718</v>
      </c>
      <c r="K122" s="552">
        <v>335795</v>
      </c>
      <c r="L122" s="552">
        <v>335952</v>
      </c>
      <c r="M122" s="552">
        <v>287987</v>
      </c>
      <c r="N122" s="552">
        <v>280864</v>
      </c>
      <c r="O122" s="552">
        <v>277902</v>
      </c>
      <c r="P122" s="552">
        <v>267105</v>
      </c>
      <c r="Q122" s="552">
        <v>247974</v>
      </c>
      <c r="R122" s="552">
        <v>188539</v>
      </c>
      <c r="S122" s="552">
        <v>158141</v>
      </c>
      <c r="T122" s="552">
        <v>99336</v>
      </c>
      <c r="U122" s="552">
        <v>62581</v>
      </c>
      <c r="V122" s="552">
        <v>45881</v>
      </c>
      <c r="W122" s="552">
        <v>16700</v>
      </c>
      <c r="X122" s="551"/>
      <c r="Y122" s="551"/>
      <c r="Z122" s="551"/>
      <c r="AA122" s="551"/>
      <c r="AB122" s="551"/>
      <c r="AC122" s="551"/>
      <c r="AD122" s="551"/>
      <c r="AE122" s="551"/>
      <c r="AF122" s="551"/>
      <c r="AG122" s="551"/>
    </row>
    <row r="123" spans="1:33" x14ac:dyDescent="0.35">
      <c r="A123" s="551">
        <v>1989</v>
      </c>
      <c r="B123" s="19" t="s">
        <v>406</v>
      </c>
      <c r="C123" s="552">
        <v>5078190</v>
      </c>
      <c r="D123" s="552">
        <v>325061</v>
      </c>
      <c r="E123" s="552">
        <v>321653</v>
      </c>
      <c r="F123" s="552">
        <v>308112</v>
      </c>
      <c r="G123" s="552">
        <v>372397</v>
      </c>
      <c r="H123" s="552">
        <v>420993</v>
      </c>
      <c r="I123" s="552">
        <v>407746</v>
      </c>
      <c r="J123" s="552">
        <v>364098</v>
      </c>
      <c r="K123" s="552">
        <v>333738</v>
      </c>
      <c r="L123" s="552">
        <v>344102</v>
      </c>
      <c r="M123" s="552">
        <v>291895</v>
      </c>
      <c r="N123" s="552">
        <v>282563</v>
      </c>
      <c r="O123" s="552">
        <v>275948</v>
      </c>
      <c r="P123" s="552">
        <v>266538</v>
      </c>
      <c r="Q123" s="552">
        <v>256775</v>
      </c>
      <c r="R123" s="552">
        <v>180599</v>
      </c>
      <c r="S123" s="552">
        <v>158845</v>
      </c>
      <c r="T123" s="552">
        <v>101280</v>
      </c>
      <c r="U123" s="552">
        <v>65847</v>
      </c>
      <c r="V123" s="552">
        <v>48460</v>
      </c>
      <c r="W123" s="552">
        <v>17387</v>
      </c>
      <c r="X123" s="551"/>
      <c r="Y123" s="551"/>
      <c r="Z123" s="551"/>
      <c r="AA123" s="551"/>
      <c r="AB123" s="551"/>
      <c r="AC123" s="551"/>
      <c r="AD123" s="551"/>
      <c r="AE123" s="551"/>
      <c r="AF123" s="551"/>
      <c r="AG123" s="551"/>
    </row>
    <row r="124" spans="1:33" x14ac:dyDescent="0.35">
      <c r="A124" s="551">
        <v>1990</v>
      </c>
      <c r="B124" s="19" t="s">
        <v>406</v>
      </c>
      <c r="C124" s="552">
        <v>5081270</v>
      </c>
      <c r="D124" s="552">
        <v>324816</v>
      </c>
      <c r="E124" s="552">
        <v>321510</v>
      </c>
      <c r="F124" s="552">
        <v>309582</v>
      </c>
      <c r="G124" s="552">
        <v>355867</v>
      </c>
      <c r="H124" s="552">
        <v>412587</v>
      </c>
      <c r="I124" s="552">
        <v>412955</v>
      </c>
      <c r="J124" s="552">
        <v>375060</v>
      </c>
      <c r="K124" s="552">
        <v>335126</v>
      </c>
      <c r="L124" s="552">
        <v>352061</v>
      </c>
      <c r="M124" s="552">
        <v>293613</v>
      </c>
      <c r="N124" s="552">
        <v>283133</v>
      </c>
      <c r="O124" s="552">
        <v>273823</v>
      </c>
      <c r="P124" s="552">
        <v>266221</v>
      </c>
      <c r="Q124" s="552">
        <v>249372</v>
      </c>
      <c r="R124" s="552">
        <v>187817</v>
      </c>
      <c r="S124" s="552">
        <v>158042</v>
      </c>
      <c r="T124" s="552">
        <v>102326</v>
      </c>
      <c r="U124" s="552">
        <v>67359</v>
      </c>
      <c r="V124" s="552">
        <v>49207</v>
      </c>
      <c r="W124" s="552">
        <v>18152</v>
      </c>
      <c r="X124" s="551"/>
      <c r="Y124" s="551"/>
      <c r="Z124" s="551"/>
      <c r="AA124" s="551"/>
      <c r="AB124" s="551"/>
      <c r="AC124" s="551"/>
      <c r="AD124" s="551"/>
      <c r="AE124" s="551"/>
      <c r="AF124" s="551"/>
      <c r="AG124" s="551"/>
    </row>
    <row r="125" spans="1:33" x14ac:dyDescent="0.35">
      <c r="A125" s="551">
        <v>1991</v>
      </c>
      <c r="B125" s="19" t="s">
        <v>406</v>
      </c>
      <c r="C125" s="552">
        <v>5083330</v>
      </c>
      <c r="D125" s="552">
        <v>324103</v>
      </c>
      <c r="E125" s="552">
        <v>320400</v>
      </c>
      <c r="F125" s="552">
        <v>313221</v>
      </c>
      <c r="G125" s="552">
        <v>337447</v>
      </c>
      <c r="H125" s="552">
        <v>408704</v>
      </c>
      <c r="I125" s="552">
        <v>411566</v>
      </c>
      <c r="J125" s="552">
        <v>383914</v>
      </c>
      <c r="K125" s="552">
        <v>339370</v>
      </c>
      <c r="L125" s="552">
        <v>356750</v>
      </c>
      <c r="M125" s="552">
        <v>300036</v>
      </c>
      <c r="N125" s="552">
        <v>280484</v>
      </c>
      <c r="O125" s="552">
        <v>272080</v>
      </c>
      <c r="P125" s="552">
        <v>264807</v>
      </c>
      <c r="Q125" s="552">
        <v>246381</v>
      </c>
      <c r="R125" s="552">
        <v>194713</v>
      </c>
      <c r="S125" s="552">
        <v>155820</v>
      </c>
      <c r="T125" s="552">
        <v>103266</v>
      </c>
      <c r="U125" s="552">
        <v>70268</v>
      </c>
      <c r="V125" s="552">
        <v>50809</v>
      </c>
      <c r="W125" s="552">
        <v>19459</v>
      </c>
      <c r="X125" s="551"/>
      <c r="Y125" s="551"/>
      <c r="Z125" s="551"/>
      <c r="AA125" s="551"/>
      <c r="AB125" s="551"/>
      <c r="AC125" s="551"/>
      <c r="AD125" s="551"/>
      <c r="AE125" s="551"/>
      <c r="AF125" s="551"/>
      <c r="AG125" s="551"/>
    </row>
    <row r="126" spans="1:33" x14ac:dyDescent="0.35">
      <c r="A126" s="551">
        <v>1992</v>
      </c>
      <c r="B126" s="19" t="s">
        <v>406</v>
      </c>
      <c r="C126" s="552">
        <v>5085620</v>
      </c>
      <c r="D126" s="552">
        <v>325062</v>
      </c>
      <c r="E126" s="552">
        <v>320263</v>
      </c>
      <c r="F126" s="552">
        <v>318638</v>
      </c>
      <c r="G126" s="552">
        <v>320300</v>
      </c>
      <c r="H126" s="552">
        <v>397793</v>
      </c>
      <c r="I126" s="552">
        <v>411253</v>
      </c>
      <c r="J126" s="552">
        <v>391076</v>
      </c>
      <c r="K126" s="552">
        <v>347452</v>
      </c>
      <c r="L126" s="552">
        <v>341640</v>
      </c>
      <c r="M126" s="552">
        <v>321978</v>
      </c>
      <c r="N126" s="552">
        <v>280707</v>
      </c>
      <c r="O126" s="552">
        <v>271170</v>
      </c>
      <c r="P126" s="552">
        <v>264495</v>
      </c>
      <c r="Q126" s="552">
        <v>242714</v>
      </c>
      <c r="R126" s="552">
        <v>202730</v>
      </c>
      <c r="S126" s="552">
        <v>151390</v>
      </c>
      <c r="T126" s="552">
        <v>104467</v>
      </c>
      <c r="U126" s="552">
        <v>72492</v>
      </c>
      <c r="V126" s="552">
        <v>51813</v>
      </c>
      <c r="W126" s="552">
        <v>20679</v>
      </c>
      <c r="X126" s="551"/>
      <c r="Y126" s="551"/>
      <c r="Z126" s="551"/>
      <c r="AA126" s="551"/>
      <c r="AB126" s="551"/>
      <c r="AC126" s="551"/>
      <c r="AD126" s="551"/>
      <c r="AE126" s="551"/>
      <c r="AF126" s="551"/>
      <c r="AG126" s="551"/>
    </row>
    <row r="127" spans="1:33" x14ac:dyDescent="0.35">
      <c r="A127" s="551">
        <v>1993</v>
      </c>
      <c r="B127" s="19" t="s">
        <v>406</v>
      </c>
      <c r="C127" s="552">
        <v>5092460</v>
      </c>
      <c r="D127" s="552">
        <v>322978</v>
      </c>
      <c r="E127" s="552">
        <v>323466</v>
      </c>
      <c r="F127" s="552">
        <v>322487</v>
      </c>
      <c r="G127" s="552">
        <v>308521</v>
      </c>
      <c r="H127" s="552">
        <v>385772</v>
      </c>
      <c r="I127" s="552">
        <v>410072</v>
      </c>
      <c r="J127" s="552">
        <v>398185</v>
      </c>
      <c r="K127" s="552">
        <v>355621</v>
      </c>
      <c r="L127" s="552">
        <v>335775</v>
      </c>
      <c r="M127" s="552">
        <v>334332</v>
      </c>
      <c r="N127" s="552">
        <v>283826</v>
      </c>
      <c r="O127" s="552">
        <v>273229</v>
      </c>
      <c r="P127" s="552">
        <v>262801</v>
      </c>
      <c r="Q127" s="552">
        <v>241411</v>
      </c>
      <c r="R127" s="552">
        <v>209889</v>
      </c>
      <c r="S127" s="552">
        <v>144127</v>
      </c>
      <c r="T127" s="552">
        <v>105266</v>
      </c>
      <c r="U127" s="552">
        <v>74702</v>
      </c>
      <c r="V127" s="552">
        <v>52984</v>
      </c>
      <c r="W127" s="552">
        <v>21718</v>
      </c>
      <c r="X127" s="551"/>
      <c r="Y127" s="551"/>
      <c r="Z127" s="551"/>
      <c r="AA127" s="551"/>
      <c r="AB127" s="551"/>
      <c r="AC127" s="551"/>
      <c r="AD127" s="551"/>
      <c r="AE127" s="551"/>
      <c r="AF127" s="551"/>
      <c r="AG127" s="551"/>
    </row>
    <row r="128" spans="1:33" x14ac:dyDescent="0.35">
      <c r="A128" s="551">
        <v>1994</v>
      </c>
      <c r="B128" s="19" t="s">
        <v>406</v>
      </c>
      <c r="C128" s="552">
        <v>5102210</v>
      </c>
      <c r="D128" s="552">
        <v>322217</v>
      </c>
      <c r="E128" s="552">
        <v>325840</v>
      </c>
      <c r="F128" s="552">
        <v>321558</v>
      </c>
      <c r="G128" s="552">
        <v>306355</v>
      </c>
      <c r="H128" s="552">
        <v>371732</v>
      </c>
      <c r="I128" s="552">
        <v>406419</v>
      </c>
      <c r="J128" s="552">
        <v>404522</v>
      </c>
      <c r="K128" s="552">
        <v>365071</v>
      </c>
      <c r="L128" s="552">
        <v>334646</v>
      </c>
      <c r="M128" s="552">
        <v>342763</v>
      </c>
      <c r="N128" s="552">
        <v>288003</v>
      </c>
      <c r="O128" s="552">
        <v>274905</v>
      </c>
      <c r="P128" s="552">
        <v>260887</v>
      </c>
      <c r="Q128" s="552">
        <v>240384</v>
      </c>
      <c r="R128" s="552">
        <v>216660</v>
      </c>
      <c r="S128" s="552">
        <v>137995</v>
      </c>
      <c r="T128" s="552">
        <v>105597</v>
      </c>
      <c r="U128" s="552">
        <v>76656</v>
      </c>
      <c r="V128" s="552">
        <v>54174</v>
      </c>
      <c r="W128" s="552">
        <v>22482</v>
      </c>
      <c r="X128" s="551"/>
      <c r="Y128" s="551"/>
      <c r="Z128" s="551"/>
      <c r="AA128" s="551"/>
      <c r="AB128" s="551"/>
      <c r="AC128" s="551"/>
      <c r="AD128" s="551"/>
      <c r="AE128" s="551"/>
      <c r="AF128" s="551"/>
      <c r="AG128" s="551"/>
    </row>
    <row r="129" spans="1:33" x14ac:dyDescent="0.35">
      <c r="A129" s="551">
        <v>1995</v>
      </c>
      <c r="B129" s="19" t="s">
        <v>406</v>
      </c>
      <c r="C129" s="552">
        <v>5103690</v>
      </c>
      <c r="D129" s="552">
        <v>318326</v>
      </c>
      <c r="E129" s="552">
        <v>324381</v>
      </c>
      <c r="F129" s="552">
        <v>320657</v>
      </c>
      <c r="G129" s="552">
        <v>307839</v>
      </c>
      <c r="H129" s="552">
        <v>357280</v>
      </c>
      <c r="I129" s="552">
        <v>398224</v>
      </c>
      <c r="J129" s="552">
        <v>408374</v>
      </c>
      <c r="K129" s="552">
        <v>374895</v>
      </c>
      <c r="L129" s="552">
        <v>335724</v>
      </c>
      <c r="M129" s="552">
        <v>350732</v>
      </c>
      <c r="N129" s="552">
        <v>290098</v>
      </c>
      <c r="O129" s="552">
        <v>275537</v>
      </c>
      <c r="P129" s="552">
        <v>259592</v>
      </c>
      <c r="Q129" s="552">
        <v>240343</v>
      </c>
      <c r="R129" s="552">
        <v>210921</v>
      </c>
      <c r="S129" s="552">
        <v>145014</v>
      </c>
      <c r="T129" s="552">
        <v>106255</v>
      </c>
      <c r="U129" s="552">
        <v>79498</v>
      </c>
      <c r="V129" s="552">
        <v>55927</v>
      </c>
      <c r="W129" s="552">
        <v>23571</v>
      </c>
      <c r="X129" s="551"/>
      <c r="Y129" s="551"/>
      <c r="Z129" s="551"/>
      <c r="AA129" s="551"/>
      <c r="AB129" s="551"/>
      <c r="AC129" s="551"/>
      <c r="AD129" s="551"/>
      <c r="AE129" s="551"/>
      <c r="AF129" s="551"/>
      <c r="AG129" s="551"/>
    </row>
    <row r="130" spans="1:33" x14ac:dyDescent="0.35">
      <c r="A130" s="551">
        <v>1996</v>
      </c>
      <c r="B130" s="19" t="s">
        <v>406</v>
      </c>
      <c r="C130" s="552">
        <v>5092190</v>
      </c>
      <c r="D130" s="552">
        <v>310083</v>
      </c>
      <c r="E130" s="552">
        <v>323540</v>
      </c>
      <c r="F130" s="552">
        <v>319167</v>
      </c>
      <c r="G130" s="552">
        <v>310447</v>
      </c>
      <c r="H130" s="552">
        <v>340447</v>
      </c>
      <c r="I130" s="552">
        <v>391424</v>
      </c>
      <c r="J130" s="552">
        <v>406627</v>
      </c>
      <c r="K130" s="552">
        <v>382132</v>
      </c>
      <c r="L130" s="552">
        <v>339815</v>
      </c>
      <c r="M130" s="552">
        <v>355173</v>
      </c>
      <c r="N130" s="552">
        <v>296607</v>
      </c>
      <c r="O130" s="552">
        <v>272999</v>
      </c>
      <c r="P130" s="552">
        <v>258713</v>
      </c>
      <c r="Q130" s="552">
        <v>239204</v>
      </c>
      <c r="R130" s="552">
        <v>208528</v>
      </c>
      <c r="S130" s="552">
        <v>151233</v>
      </c>
      <c r="T130" s="552">
        <v>104975</v>
      </c>
      <c r="U130" s="552">
        <v>81076</v>
      </c>
      <c r="V130" s="552">
        <v>56720</v>
      </c>
      <c r="W130" s="552">
        <v>24356</v>
      </c>
      <c r="X130" s="551"/>
      <c r="Y130" s="551"/>
      <c r="Z130" s="551"/>
      <c r="AA130" s="551"/>
      <c r="AB130" s="551"/>
      <c r="AC130" s="551"/>
      <c r="AD130" s="551"/>
      <c r="AE130" s="551"/>
      <c r="AF130" s="551"/>
      <c r="AG130" s="551"/>
    </row>
    <row r="131" spans="1:33" x14ac:dyDescent="0.35">
      <c r="A131" s="551">
        <v>1997</v>
      </c>
      <c r="B131" s="19" t="s">
        <v>406</v>
      </c>
      <c r="C131" s="552">
        <v>5083340</v>
      </c>
      <c r="D131" s="552">
        <v>302705</v>
      </c>
      <c r="E131" s="552">
        <v>323775</v>
      </c>
      <c r="F131" s="552">
        <v>320169</v>
      </c>
      <c r="G131" s="552">
        <v>315234</v>
      </c>
      <c r="H131" s="552">
        <v>322052</v>
      </c>
      <c r="I131" s="552">
        <v>378990</v>
      </c>
      <c r="J131" s="552">
        <v>405780</v>
      </c>
      <c r="K131" s="552">
        <v>388562</v>
      </c>
      <c r="L131" s="552">
        <v>347412</v>
      </c>
      <c r="M131" s="552">
        <v>340147</v>
      </c>
      <c r="N131" s="552">
        <v>318212</v>
      </c>
      <c r="O131" s="552">
        <v>273212</v>
      </c>
      <c r="P131" s="552">
        <v>258064</v>
      </c>
      <c r="Q131" s="552">
        <v>239909</v>
      </c>
      <c r="R131" s="552">
        <v>206046</v>
      </c>
      <c r="S131" s="552">
        <v>158406</v>
      </c>
      <c r="T131" s="552">
        <v>101993</v>
      </c>
      <c r="U131" s="552">
        <v>82672</v>
      </c>
      <c r="V131" s="552">
        <v>57665</v>
      </c>
      <c r="W131" s="552">
        <v>25007</v>
      </c>
      <c r="X131" s="551"/>
      <c r="Y131" s="551"/>
      <c r="Z131" s="551"/>
      <c r="AA131" s="551"/>
      <c r="AB131" s="551"/>
      <c r="AC131" s="551"/>
      <c r="AD131" s="551"/>
      <c r="AE131" s="551"/>
      <c r="AF131" s="551"/>
      <c r="AG131" s="551"/>
    </row>
    <row r="132" spans="1:33" x14ac:dyDescent="0.35">
      <c r="A132" s="551">
        <v>1998</v>
      </c>
      <c r="B132" s="19" t="s">
        <v>406</v>
      </c>
      <c r="C132" s="552">
        <v>5077070</v>
      </c>
      <c r="D132" s="552">
        <v>296391</v>
      </c>
      <c r="E132" s="552">
        <v>320702</v>
      </c>
      <c r="F132" s="552">
        <v>323384</v>
      </c>
      <c r="G132" s="552">
        <v>318316</v>
      </c>
      <c r="H132" s="552">
        <v>309443</v>
      </c>
      <c r="I132" s="552">
        <v>363331</v>
      </c>
      <c r="J132" s="552">
        <v>402281</v>
      </c>
      <c r="K132" s="552">
        <v>394317</v>
      </c>
      <c r="L132" s="552">
        <v>355099</v>
      </c>
      <c r="M132" s="552">
        <v>334198</v>
      </c>
      <c r="N132" s="552">
        <v>330088</v>
      </c>
      <c r="O132" s="552">
        <v>276440</v>
      </c>
      <c r="P132" s="552">
        <v>260501</v>
      </c>
      <c r="Q132" s="552">
        <v>239765</v>
      </c>
      <c r="R132" s="552">
        <v>205719</v>
      </c>
      <c r="S132" s="552">
        <v>164503</v>
      </c>
      <c r="T132" s="552">
        <v>97814</v>
      </c>
      <c r="U132" s="552">
        <v>84778</v>
      </c>
      <c r="V132" s="552">
        <v>58691</v>
      </c>
      <c r="W132" s="552">
        <v>26087</v>
      </c>
      <c r="X132" s="551"/>
      <c r="Y132" s="551"/>
      <c r="Z132" s="551"/>
      <c r="AA132" s="551"/>
      <c r="AB132" s="551"/>
      <c r="AC132" s="551"/>
      <c r="AD132" s="551"/>
      <c r="AE132" s="551"/>
      <c r="AF132" s="551"/>
      <c r="AG132" s="551"/>
    </row>
    <row r="133" spans="1:33" x14ac:dyDescent="0.35">
      <c r="A133" s="551">
        <v>1999</v>
      </c>
      <c r="B133" s="19" t="s">
        <v>406</v>
      </c>
      <c r="C133" s="552">
        <v>5071950</v>
      </c>
      <c r="D133" s="552">
        <v>290311</v>
      </c>
      <c r="E133" s="552">
        <v>318450</v>
      </c>
      <c r="F133" s="552">
        <v>324619</v>
      </c>
      <c r="G133" s="552">
        <v>317675</v>
      </c>
      <c r="H133" s="552">
        <v>307382</v>
      </c>
      <c r="I133" s="552">
        <v>346028</v>
      </c>
      <c r="J133" s="552">
        <v>396509</v>
      </c>
      <c r="K133" s="552">
        <v>399086</v>
      </c>
      <c r="L133" s="552">
        <v>363114</v>
      </c>
      <c r="M133" s="552">
        <v>332566</v>
      </c>
      <c r="N133" s="552">
        <v>337997</v>
      </c>
      <c r="O133" s="552">
        <v>280771</v>
      </c>
      <c r="P133" s="552">
        <v>262370</v>
      </c>
      <c r="Q133" s="552">
        <v>238709</v>
      </c>
      <c r="R133" s="552">
        <v>205711</v>
      </c>
      <c r="S133" s="552">
        <v>170164</v>
      </c>
      <c r="T133" s="552">
        <v>94352</v>
      </c>
      <c r="U133" s="552">
        <v>86136</v>
      </c>
      <c r="V133" s="552">
        <v>59041</v>
      </c>
      <c r="W133" s="552">
        <v>27095</v>
      </c>
      <c r="X133" s="551"/>
      <c r="Y133" s="551"/>
      <c r="Z133" s="551"/>
      <c r="AA133" s="551"/>
      <c r="AB133" s="551"/>
      <c r="AC133" s="551"/>
      <c r="AD133" s="551"/>
      <c r="AE133" s="551"/>
      <c r="AF133" s="551"/>
      <c r="AG133" s="551"/>
    </row>
    <row r="134" spans="1:33" x14ac:dyDescent="0.35">
      <c r="A134" s="551">
        <v>2000</v>
      </c>
      <c r="B134" s="19" t="s">
        <v>406</v>
      </c>
      <c r="C134" s="552">
        <v>5062940</v>
      </c>
      <c r="D134" s="552">
        <v>283213</v>
      </c>
      <c r="E134" s="552">
        <v>313342</v>
      </c>
      <c r="F134" s="552">
        <v>322884</v>
      </c>
      <c r="G134" s="552">
        <v>317896</v>
      </c>
      <c r="H134" s="552">
        <v>309605</v>
      </c>
      <c r="I134" s="552">
        <v>329972</v>
      </c>
      <c r="J134" s="552">
        <v>386733</v>
      </c>
      <c r="K134" s="552">
        <v>403058</v>
      </c>
      <c r="L134" s="552">
        <v>371304</v>
      </c>
      <c r="M134" s="552">
        <v>333356</v>
      </c>
      <c r="N134" s="552">
        <v>345863</v>
      </c>
      <c r="O134" s="552">
        <v>282993</v>
      </c>
      <c r="P134" s="552">
        <v>263236</v>
      </c>
      <c r="Q134" s="552">
        <v>238638</v>
      </c>
      <c r="R134" s="552">
        <v>206574</v>
      </c>
      <c r="S134" s="552">
        <v>166177</v>
      </c>
      <c r="T134" s="552">
        <v>100435</v>
      </c>
      <c r="U134" s="552">
        <v>87661</v>
      </c>
      <c r="V134" s="552">
        <v>59365</v>
      </c>
      <c r="W134" s="552">
        <v>28296</v>
      </c>
      <c r="X134" s="551"/>
      <c r="Y134" s="551"/>
      <c r="Z134" s="551"/>
      <c r="AA134" s="551"/>
      <c r="AB134" s="551"/>
      <c r="AC134" s="551"/>
      <c r="AD134" s="551"/>
      <c r="AE134" s="551"/>
      <c r="AF134" s="551"/>
      <c r="AG134" s="551"/>
    </row>
    <row r="135" spans="1:33" x14ac:dyDescent="0.35">
      <c r="A135" s="551">
        <v>2001</v>
      </c>
      <c r="B135" s="19" t="s">
        <v>406</v>
      </c>
      <c r="C135" s="552">
        <v>5064200</v>
      </c>
      <c r="D135" s="552">
        <v>276261</v>
      </c>
      <c r="E135" s="552">
        <v>305813</v>
      </c>
      <c r="F135" s="552">
        <v>322923</v>
      </c>
      <c r="G135" s="552">
        <v>317605</v>
      </c>
      <c r="H135" s="552">
        <v>315395</v>
      </c>
      <c r="I135" s="552">
        <v>314885</v>
      </c>
      <c r="J135" s="552">
        <v>381237</v>
      </c>
      <c r="K135" s="552">
        <v>403232</v>
      </c>
      <c r="L135" s="552">
        <v>378888</v>
      </c>
      <c r="M135" s="552">
        <v>338208</v>
      </c>
      <c r="N135" s="552">
        <v>350883</v>
      </c>
      <c r="O135" s="552">
        <v>290138</v>
      </c>
      <c r="P135" s="552">
        <v>261551</v>
      </c>
      <c r="Q135" s="552">
        <v>239464</v>
      </c>
      <c r="R135" s="552">
        <v>207178</v>
      </c>
      <c r="S135" s="552">
        <v>165616</v>
      </c>
      <c r="T135" s="552">
        <v>106129</v>
      </c>
      <c r="U135" s="552">
        <v>88794</v>
      </c>
      <c r="V135" s="552">
        <v>59409</v>
      </c>
      <c r="W135" s="552">
        <v>29385</v>
      </c>
      <c r="X135" s="551"/>
      <c r="Y135" s="551"/>
      <c r="Z135" s="551"/>
      <c r="AA135" s="551"/>
      <c r="AB135" s="551"/>
      <c r="AC135" s="551"/>
      <c r="AD135" s="551"/>
      <c r="AE135" s="551"/>
      <c r="AF135" s="551"/>
      <c r="AG135" s="551"/>
    </row>
    <row r="136" spans="1:33" x14ac:dyDescent="0.35">
      <c r="A136" s="551">
        <v>2002</v>
      </c>
      <c r="B136" s="19" t="s">
        <v>406</v>
      </c>
      <c r="C136" s="552">
        <v>5066000</v>
      </c>
      <c r="D136" s="552">
        <v>269784</v>
      </c>
      <c r="E136" s="552">
        <v>300341</v>
      </c>
      <c r="F136" s="552">
        <v>322994</v>
      </c>
      <c r="G136" s="552">
        <v>318594</v>
      </c>
      <c r="H136" s="552">
        <v>323176</v>
      </c>
      <c r="I136" s="552">
        <v>301388</v>
      </c>
      <c r="J136" s="552">
        <v>370635</v>
      </c>
      <c r="K136" s="552">
        <v>402702</v>
      </c>
      <c r="L136" s="552">
        <v>386186</v>
      </c>
      <c r="M136" s="552">
        <v>346196</v>
      </c>
      <c r="N136" s="552">
        <v>337014</v>
      </c>
      <c r="O136" s="552">
        <v>311948</v>
      </c>
      <c r="P136" s="552">
        <v>262178</v>
      </c>
      <c r="Q136" s="552">
        <v>239601</v>
      </c>
      <c r="R136" s="552">
        <v>209211</v>
      </c>
      <c r="S136" s="552">
        <v>164386</v>
      </c>
      <c r="T136" s="552">
        <v>111946</v>
      </c>
      <c r="U136" s="552">
        <v>87720</v>
      </c>
      <c r="V136" s="552">
        <v>58050</v>
      </c>
      <c r="W136" s="552">
        <v>29670</v>
      </c>
      <c r="X136" s="551"/>
      <c r="Y136" s="551"/>
      <c r="Z136" s="551"/>
      <c r="AA136" s="551"/>
      <c r="AB136" s="551"/>
      <c r="AC136" s="551"/>
      <c r="AD136" s="551"/>
      <c r="AE136" s="551"/>
      <c r="AF136" s="551"/>
      <c r="AG136" s="551"/>
    </row>
    <row r="137" spans="1:33" x14ac:dyDescent="0.35">
      <c r="A137" s="551">
        <v>2003</v>
      </c>
      <c r="B137" s="19" t="s">
        <v>406</v>
      </c>
      <c r="C137" s="552">
        <v>5068500</v>
      </c>
      <c r="D137" s="552">
        <v>265124</v>
      </c>
      <c r="E137" s="552">
        <v>295752</v>
      </c>
      <c r="F137" s="552">
        <v>320033</v>
      </c>
      <c r="G137" s="552">
        <v>320922</v>
      </c>
      <c r="H137" s="552">
        <v>328490</v>
      </c>
      <c r="I137" s="552">
        <v>293178</v>
      </c>
      <c r="J137" s="552">
        <v>358583</v>
      </c>
      <c r="K137" s="552">
        <v>400342</v>
      </c>
      <c r="L137" s="552">
        <v>392871</v>
      </c>
      <c r="M137" s="552">
        <v>353632</v>
      </c>
      <c r="N137" s="552">
        <v>331546</v>
      </c>
      <c r="O137" s="552">
        <v>323990</v>
      </c>
      <c r="P137" s="552">
        <v>265506</v>
      </c>
      <c r="Q137" s="552">
        <v>242219</v>
      </c>
      <c r="R137" s="552">
        <v>210215</v>
      </c>
      <c r="S137" s="552">
        <v>164579</v>
      </c>
      <c r="T137" s="552">
        <v>116211</v>
      </c>
      <c r="U137" s="552">
        <v>85307</v>
      </c>
      <c r="V137" s="552">
        <v>55450</v>
      </c>
      <c r="W137" s="552">
        <v>29857</v>
      </c>
      <c r="X137" s="551"/>
      <c r="Y137" s="551"/>
      <c r="Z137" s="551"/>
      <c r="AA137" s="551"/>
      <c r="AB137" s="551"/>
      <c r="AC137" s="551"/>
      <c r="AD137" s="551"/>
      <c r="AE137" s="551"/>
      <c r="AF137" s="551"/>
      <c r="AG137" s="551"/>
    </row>
    <row r="138" spans="1:33" x14ac:dyDescent="0.35">
      <c r="A138" s="551">
        <v>2004</v>
      </c>
      <c r="B138" s="19" t="s">
        <v>406</v>
      </c>
      <c r="C138" s="552">
        <v>5084300</v>
      </c>
      <c r="D138" s="552">
        <v>263725</v>
      </c>
      <c r="E138" s="552">
        <v>292012</v>
      </c>
      <c r="F138" s="552">
        <v>318895</v>
      </c>
      <c r="G138" s="552">
        <v>322550</v>
      </c>
      <c r="H138" s="552">
        <v>330116</v>
      </c>
      <c r="I138" s="552">
        <v>295046</v>
      </c>
      <c r="J138" s="552">
        <v>344896</v>
      </c>
      <c r="K138" s="552">
        <v>396818</v>
      </c>
      <c r="L138" s="552">
        <v>399112</v>
      </c>
      <c r="M138" s="552">
        <v>362082</v>
      </c>
      <c r="N138" s="552">
        <v>330384</v>
      </c>
      <c r="O138" s="552">
        <v>332800</v>
      </c>
      <c r="P138" s="552">
        <v>270604</v>
      </c>
      <c r="Q138" s="552">
        <v>244668</v>
      </c>
      <c r="R138" s="552">
        <v>210492</v>
      </c>
      <c r="S138" s="552">
        <v>165495</v>
      </c>
      <c r="T138" s="552">
        <v>120416</v>
      </c>
      <c r="U138" s="552">
        <v>84189</v>
      </c>
      <c r="V138" s="552">
        <v>54024</v>
      </c>
      <c r="W138" s="552">
        <v>30165</v>
      </c>
      <c r="X138" s="551"/>
      <c r="Y138" s="551"/>
      <c r="Z138" s="551"/>
      <c r="AA138" s="551"/>
      <c r="AB138" s="551"/>
      <c r="AC138" s="551"/>
      <c r="AD138" s="551"/>
      <c r="AE138" s="551"/>
      <c r="AF138" s="551"/>
      <c r="AG138" s="551"/>
    </row>
    <row r="139" spans="1:33" x14ac:dyDescent="0.35">
      <c r="A139" s="551">
        <v>2005</v>
      </c>
      <c r="B139" s="19" t="s">
        <v>406</v>
      </c>
      <c r="C139" s="552">
        <v>5110200</v>
      </c>
      <c r="D139" s="552">
        <v>265494</v>
      </c>
      <c r="E139" s="552">
        <v>288076</v>
      </c>
      <c r="F139" s="552">
        <v>315456</v>
      </c>
      <c r="G139" s="552">
        <v>322788</v>
      </c>
      <c r="H139" s="552">
        <v>335667</v>
      </c>
      <c r="I139" s="552">
        <v>302798</v>
      </c>
      <c r="J139" s="552">
        <v>334064</v>
      </c>
      <c r="K139" s="552">
        <v>390035</v>
      </c>
      <c r="L139" s="552">
        <v>406046</v>
      </c>
      <c r="M139" s="552">
        <v>370864</v>
      </c>
      <c r="N139" s="552">
        <v>331859</v>
      </c>
      <c r="O139" s="552">
        <v>341282</v>
      </c>
      <c r="P139" s="552">
        <v>273453</v>
      </c>
      <c r="Q139" s="552">
        <v>245840</v>
      </c>
      <c r="R139" s="552">
        <v>211563</v>
      </c>
      <c r="S139" s="552">
        <v>167298</v>
      </c>
      <c r="T139" s="552">
        <v>118256</v>
      </c>
      <c r="U139" s="552">
        <v>89361</v>
      </c>
      <c r="V139" s="552">
        <v>58751</v>
      </c>
      <c r="W139" s="552">
        <v>30610</v>
      </c>
      <c r="X139" s="551"/>
      <c r="Y139" s="551"/>
      <c r="Z139" s="551"/>
      <c r="AA139" s="551"/>
      <c r="AB139" s="551"/>
      <c r="AC139" s="551"/>
      <c r="AD139" s="551"/>
      <c r="AE139" s="551"/>
      <c r="AF139" s="551"/>
      <c r="AG139" s="551"/>
    </row>
    <row r="140" spans="1:33" x14ac:dyDescent="0.35">
      <c r="A140" s="551">
        <v>2006</v>
      </c>
      <c r="B140" s="19" t="s">
        <v>406</v>
      </c>
      <c r="C140" s="552">
        <v>5133000</v>
      </c>
      <c r="D140" s="552">
        <v>267887</v>
      </c>
      <c r="E140" s="552">
        <v>283176</v>
      </c>
      <c r="F140" s="552">
        <v>310396</v>
      </c>
      <c r="G140" s="552">
        <v>325046</v>
      </c>
      <c r="H140" s="552">
        <v>338427</v>
      </c>
      <c r="I140" s="552">
        <v>312153</v>
      </c>
      <c r="J140" s="552">
        <v>321753</v>
      </c>
      <c r="K140" s="552">
        <v>386490</v>
      </c>
      <c r="L140" s="552">
        <v>407675</v>
      </c>
      <c r="M140" s="552">
        <v>378713</v>
      </c>
      <c r="N140" s="552">
        <v>336583</v>
      </c>
      <c r="O140" s="552">
        <v>346378</v>
      </c>
      <c r="P140" s="552">
        <v>280548</v>
      </c>
      <c r="Q140" s="552">
        <v>244329</v>
      </c>
      <c r="R140" s="552">
        <v>212774</v>
      </c>
      <c r="S140" s="552">
        <v>168617</v>
      </c>
      <c r="T140" s="552">
        <v>118180</v>
      </c>
      <c r="U140" s="552">
        <v>93875</v>
      </c>
      <c r="V140" s="552">
        <v>63227</v>
      </c>
      <c r="W140" s="552">
        <v>30648</v>
      </c>
      <c r="X140" s="551"/>
      <c r="Y140" s="551"/>
      <c r="Z140" s="551"/>
      <c r="AA140" s="551"/>
      <c r="AB140" s="551"/>
      <c r="AC140" s="551"/>
      <c r="AD140" s="551"/>
      <c r="AE140" s="551"/>
      <c r="AF140" s="551"/>
      <c r="AG140" s="551"/>
    </row>
    <row r="141" spans="1:33" x14ac:dyDescent="0.35">
      <c r="A141" s="551">
        <v>2007</v>
      </c>
      <c r="B141" s="19" t="s">
        <v>406</v>
      </c>
      <c r="C141" s="552">
        <v>5170000</v>
      </c>
      <c r="D141" s="552">
        <v>274307</v>
      </c>
      <c r="E141" s="552">
        <v>277032</v>
      </c>
      <c r="F141" s="552">
        <v>306907</v>
      </c>
      <c r="G141" s="552">
        <v>329271</v>
      </c>
      <c r="H141" s="552">
        <v>341579</v>
      </c>
      <c r="I141" s="552">
        <v>326534</v>
      </c>
      <c r="J141" s="552">
        <v>311583</v>
      </c>
      <c r="K141" s="552">
        <v>379780</v>
      </c>
      <c r="L141" s="552">
        <v>409130</v>
      </c>
      <c r="M141" s="552">
        <v>387047</v>
      </c>
      <c r="N141" s="552">
        <v>345038</v>
      </c>
      <c r="O141" s="552">
        <v>333022</v>
      </c>
      <c r="P141" s="552">
        <v>302741</v>
      </c>
      <c r="Q141" s="552">
        <v>245594</v>
      </c>
      <c r="R141" s="552">
        <v>213870</v>
      </c>
      <c r="S141" s="552">
        <v>171605</v>
      </c>
      <c r="T141" s="552">
        <v>118251</v>
      </c>
      <c r="U141" s="552">
        <v>96709</v>
      </c>
      <c r="V141" s="552">
        <v>66860</v>
      </c>
      <c r="W141" s="552">
        <v>29849</v>
      </c>
      <c r="X141" s="551"/>
      <c r="Y141" s="551"/>
      <c r="Z141" s="551"/>
      <c r="AA141" s="551"/>
      <c r="AB141" s="551"/>
      <c r="AC141" s="551"/>
      <c r="AD141" s="551"/>
      <c r="AE141" s="551"/>
      <c r="AF141" s="551"/>
      <c r="AG141" s="551"/>
    </row>
    <row r="142" spans="1:33" x14ac:dyDescent="0.35">
      <c r="A142" s="551">
        <v>2008</v>
      </c>
      <c r="B142" s="19" t="s">
        <v>406</v>
      </c>
      <c r="C142" s="552">
        <v>5202900</v>
      </c>
      <c r="D142" s="552">
        <v>282076</v>
      </c>
      <c r="E142" s="552">
        <v>272218</v>
      </c>
      <c r="F142" s="552">
        <v>303788</v>
      </c>
      <c r="G142" s="552">
        <v>329127</v>
      </c>
      <c r="H142" s="552">
        <v>346685</v>
      </c>
      <c r="I142" s="552">
        <v>336480</v>
      </c>
      <c r="J142" s="552">
        <v>306527</v>
      </c>
      <c r="K142" s="552">
        <v>369874</v>
      </c>
      <c r="L142" s="552">
        <v>407778</v>
      </c>
      <c r="M142" s="552">
        <v>395209</v>
      </c>
      <c r="N142" s="552">
        <v>352726</v>
      </c>
      <c r="O142" s="552">
        <v>327680</v>
      </c>
      <c r="P142" s="552">
        <v>314971</v>
      </c>
      <c r="Q142" s="552">
        <v>249403</v>
      </c>
      <c r="R142" s="552">
        <v>216897</v>
      </c>
      <c r="S142" s="552">
        <v>173548</v>
      </c>
      <c r="T142" s="552">
        <v>119216</v>
      </c>
      <c r="U142" s="552">
        <v>98697</v>
      </c>
      <c r="V142" s="552">
        <v>69561</v>
      </c>
      <c r="W142" s="552">
        <v>29136</v>
      </c>
      <c r="X142" s="551"/>
      <c r="Y142" s="551"/>
      <c r="Z142" s="551"/>
      <c r="AA142" s="551"/>
      <c r="AB142" s="551"/>
      <c r="AC142" s="551"/>
      <c r="AD142" s="551"/>
      <c r="AE142" s="551"/>
      <c r="AF142" s="551"/>
      <c r="AG142" s="551"/>
    </row>
    <row r="143" spans="1:33" x14ac:dyDescent="0.35">
      <c r="A143" s="551">
        <v>2009</v>
      </c>
      <c r="B143" s="19" t="s">
        <v>406</v>
      </c>
      <c r="C143" s="552">
        <v>5231900</v>
      </c>
      <c r="D143" s="552">
        <v>287506</v>
      </c>
      <c r="E143" s="552">
        <v>269584</v>
      </c>
      <c r="F143" s="552">
        <v>300139</v>
      </c>
      <c r="G143" s="552">
        <v>332321</v>
      </c>
      <c r="H143" s="552">
        <v>348701</v>
      </c>
      <c r="I143" s="552">
        <v>339974</v>
      </c>
      <c r="J143" s="552">
        <v>309453</v>
      </c>
      <c r="K143" s="552">
        <v>357521</v>
      </c>
      <c r="L143" s="552">
        <v>404027</v>
      </c>
      <c r="M143" s="552">
        <v>401606</v>
      </c>
      <c r="N143" s="552">
        <v>361126</v>
      </c>
      <c r="O143" s="552">
        <v>326055</v>
      </c>
      <c r="P143" s="552">
        <v>323312</v>
      </c>
      <c r="Q143" s="552">
        <v>254007</v>
      </c>
      <c r="R143" s="552">
        <v>219659</v>
      </c>
      <c r="S143" s="552">
        <v>174779</v>
      </c>
      <c r="T143" s="552">
        <v>120838</v>
      </c>
      <c r="U143" s="552">
        <v>101292</v>
      </c>
      <c r="V143" s="552">
        <v>72220</v>
      </c>
      <c r="W143" s="552">
        <v>29072</v>
      </c>
      <c r="X143" s="551"/>
      <c r="Y143" s="551"/>
      <c r="Z143" s="551"/>
      <c r="AA143" s="551"/>
      <c r="AB143" s="551"/>
      <c r="AC143" s="551"/>
      <c r="AD143" s="551"/>
      <c r="AE143" s="551"/>
      <c r="AF143" s="551"/>
      <c r="AG143" s="551"/>
    </row>
    <row r="144" spans="1:33" x14ac:dyDescent="0.35">
      <c r="A144" s="551">
        <v>2010</v>
      </c>
      <c r="B144" s="19" t="s">
        <v>406</v>
      </c>
      <c r="C144" s="552">
        <v>5262200</v>
      </c>
      <c r="D144" s="552">
        <v>290920</v>
      </c>
      <c r="E144" s="552">
        <v>269598</v>
      </c>
      <c r="F144" s="552">
        <v>295701</v>
      </c>
      <c r="G144" s="552">
        <v>331826</v>
      </c>
      <c r="H144" s="552">
        <v>353723</v>
      </c>
      <c r="I144" s="552">
        <v>342901</v>
      </c>
      <c r="J144" s="552">
        <v>315516</v>
      </c>
      <c r="K144" s="552">
        <v>346915</v>
      </c>
      <c r="L144" s="552">
        <v>396734</v>
      </c>
      <c r="M144" s="552">
        <v>408456</v>
      </c>
      <c r="N144" s="552">
        <v>369104</v>
      </c>
      <c r="O144" s="552">
        <v>327270</v>
      </c>
      <c r="P144" s="552">
        <v>331314</v>
      </c>
      <c r="Q144" s="552">
        <v>256983</v>
      </c>
      <c r="R144" s="552">
        <v>221092</v>
      </c>
      <c r="S144" s="552">
        <v>177100</v>
      </c>
      <c r="T144" s="552">
        <v>123136</v>
      </c>
      <c r="U144" s="552">
        <v>103911</v>
      </c>
      <c r="V144" s="552">
        <v>71481</v>
      </c>
      <c r="W144" s="552">
        <v>32430</v>
      </c>
      <c r="X144" s="551"/>
      <c r="Y144" s="551"/>
      <c r="Z144" s="551"/>
      <c r="AA144" s="551"/>
      <c r="AB144" s="551"/>
      <c r="AC144" s="551"/>
      <c r="AD144" s="551"/>
      <c r="AE144" s="551"/>
      <c r="AF144" s="551"/>
      <c r="AG144" s="551"/>
    </row>
    <row r="145" spans="1:33" x14ac:dyDescent="0.35">
      <c r="A145" s="551">
        <v>2011</v>
      </c>
      <c r="B145" s="19" t="s">
        <v>406</v>
      </c>
      <c r="C145" s="552">
        <v>5299900</v>
      </c>
      <c r="D145" s="552">
        <v>293586</v>
      </c>
      <c r="E145" s="552">
        <v>270900</v>
      </c>
      <c r="F145" s="552">
        <v>290266</v>
      </c>
      <c r="G145" s="552">
        <v>326831</v>
      </c>
      <c r="H145" s="552">
        <v>365580</v>
      </c>
      <c r="I145" s="552">
        <v>346349</v>
      </c>
      <c r="J145" s="552">
        <v>323786</v>
      </c>
      <c r="K145" s="552">
        <v>336101</v>
      </c>
      <c r="L145" s="552">
        <v>393664</v>
      </c>
      <c r="M145" s="552">
        <v>410769</v>
      </c>
      <c r="N145" s="552">
        <v>377317</v>
      </c>
      <c r="O145" s="552">
        <v>331924</v>
      </c>
      <c r="P145" s="552">
        <v>336463</v>
      </c>
      <c r="Q145" s="552">
        <v>264413</v>
      </c>
      <c r="R145" s="552">
        <v>220367</v>
      </c>
      <c r="S145" s="552">
        <v>179144</v>
      </c>
      <c r="T145" s="552">
        <v>125396</v>
      </c>
      <c r="U145" s="552">
        <v>107044</v>
      </c>
      <c r="V145" s="552">
        <v>71875</v>
      </c>
      <c r="W145" s="552">
        <v>35169</v>
      </c>
      <c r="X145" s="551"/>
      <c r="Y145" s="551"/>
      <c r="Z145" s="551"/>
      <c r="AA145" s="551"/>
      <c r="AB145" s="551"/>
      <c r="AC145" s="551"/>
      <c r="AD145" s="551"/>
      <c r="AE145" s="551"/>
      <c r="AF145" s="551"/>
      <c r="AG145" s="551"/>
    </row>
    <row r="146" spans="1:33" x14ac:dyDescent="0.35">
      <c r="A146" s="551">
        <v>2012</v>
      </c>
      <c r="B146" s="19" t="s">
        <v>406</v>
      </c>
      <c r="C146" s="552">
        <v>5313600</v>
      </c>
      <c r="D146" s="552">
        <v>295790</v>
      </c>
      <c r="E146" s="552">
        <v>275597</v>
      </c>
      <c r="F146" s="552">
        <v>281578</v>
      </c>
      <c r="G146" s="552">
        <v>318936</v>
      </c>
      <c r="H146" s="552">
        <v>371337</v>
      </c>
      <c r="I146" s="552">
        <v>347332</v>
      </c>
      <c r="J146" s="552">
        <v>332937</v>
      </c>
      <c r="K146" s="552">
        <v>321989</v>
      </c>
      <c r="L146" s="552">
        <v>385471</v>
      </c>
      <c r="M146" s="552">
        <v>410266</v>
      </c>
      <c r="N146" s="552">
        <v>384707</v>
      </c>
      <c r="O146" s="552">
        <v>339296</v>
      </c>
      <c r="P146" s="552">
        <v>322623</v>
      </c>
      <c r="Q146" s="552">
        <v>285745</v>
      </c>
      <c r="R146" s="552">
        <v>221543</v>
      </c>
      <c r="S146" s="552">
        <v>180599</v>
      </c>
      <c r="T146" s="552">
        <v>128627</v>
      </c>
      <c r="U146" s="552">
        <v>109227</v>
      </c>
      <c r="V146" s="552">
        <v>72322</v>
      </c>
      <c r="W146" s="552">
        <v>36905</v>
      </c>
      <c r="X146" s="551"/>
      <c r="Y146" s="551"/>
      <c r="Z146" s="551"/>
      <c r="AA146" s="551"/>
      <c r="AB146" s="551"/>
      <c r="AC146" s="551"/>
      <c r="AD146" s="551"/>
      <c r="AE146" s="551"/>
      <c r="AF146" s="551"/>
      <c r="AG146" s="551"/>
    </row>
    <row r="147" spans="1:33" x14ac:dyDescent="0.35">
      <c r="A147" s="551">
        <v>2013</v>
      </c>
      <c r="B147" s="19" t="s">
        <v>406</v>
      </c>
      <c r="C147" s="552">
        <v>5327700</v>
      </c>
      <c r="D147" s="552">
        <v>294043</v>
      </c>
      <c r="E147" s="552">
        <v>282697</v>
      </c>
      <c r="F147" s="552">
        <v>275132</v>
      </c>
      <c r="G147" s="552">
        <v>313499</v>
      </c>
      <c r="H147" s="552">
        <v>370277</v>
      </c>
      <c r="I147" s="552">
        <v>352075</v>
      </c>
      <c r="J147" s="552">
        <v>340709</v>
      </c>
      <c r="K147" s="552">
        <v>314110</v>
      </c>
      <c r="L147" s="552">
        <v>374276</v>
      </c>
      <c r="M147" s="552">
        <v>407817</v>
      </c>
      <c r="N147" s="552">
        <v>392436</v>
      </c>
      <c r="O147" s="552">
        <v>346422</v>
      </c>
      <c r="P147" s="552">
        <v>317309</v>
      </c>
      <c r="Q147" s="552">
        <v>297382</v>
      </c>
      <c r="R147" s="552">
        <v>224920</v>
      </c>
      <c r="S147" s="552">
        <v>183543</v>
      </c>
      <c r="T147" s="552">
        <v>130325</v>
      </c>
      <c r="U147" s="552">
        <v>110728</v>
      </c>
      <c r="V147" s="552">
        <v>73038</v>
      </c>
      <c r="W147" s="552">
        <v>37690</v>
      </c>
      <c r="X147" s="551"/>
      <c r="Y147" s="551"/>
      <c r="Z147" s="551"/>
      <c r="AA147" s="551"/>
      <c r="AB147" s="551"/>
      <c r="AC147" s="551"/>
      <c r="AD147" s="551"/>
      <c r="AE147" s="551"/>
      <c r="AF147" s="551"/>
      <c r="AG147" s="551"/>
    </row>
    <row r="148" spans="1:33" x14ac:dyDescent="0.35">
      <c r="A148" s="551">
        <v>2014</v>
      </c>
      <c r="B148" s="19" t="s">
        <v>406</v>
      </c>
      <c r="C148" s="552">
        <v>5347600</v>
      </c>
      <c r="D148" s="552">
        <v>291857</v>
      </c>
      <c r="E148" s="552">
        <v>288721</v>
      </c>
      <c r="F148" s="552">
        <v>271899</v>
      </c>
      <c r="G148" s="552">
        <v>308271</v>
      </c>
      <c r="H148" s="552">
        <v>368541</v>
      </c>
      <c r="I148" s="552">
        <v>357558</v>
      </c>
      <c r="J148" s="552">
        <v>343682</v>
      </c>
      <c r="K148" s="552">
        <v>314957</v>
      </c>
      <c r="L148" s="552">
        <v>360888</v>
      </c>
      <c r="M148" s="552">
        <v>403678</v>
      </c>
      <c r="N148" s="552">
        <v>398635</v>
      </c>
      <c r="O148" s="552">
        <v>354653</v>
      </c>
      <c r="P148" s="552">
        <v>315810</v>
      </c>
      <c r="Q148" s="552">
        <v>305577</v>
      </c>
      <c r="R148" s="552">
        <v>229635</v>
      </c>
      <c r="S148" s="552">
        <v>186414</v>
      </c>
      <c r="T148" s="552">
        <v>132443</v>
      </c>
      <c r="U148" s="552">
        <v>114381</v>
      </c>
      <c r="V148" s="552">
        <v>74829</v>
      </c>
      <c r="W148" s="552">
        <v>39552</v>
      </c>
      <c r="X148" s="551"/>
      <c r="Y148" s="551"/>
      <c r="Z148" s="551"/>
      <c r="AA148" s="551"/>
      <c r="AB148" s="551"/>
      <c r="AC148" s="551"/>
      <c r="AD148" s="551"/>
      <c r="AE148" s="551"/>
      <c r="AF148" s="551"/>
      <c r="AG148" s="551"/>
    </row>
    <row r="149" spans="1:33" x14ac:dyDescent="0.35">
      <c r="A149" s="551">
        <v>2015</v>
      </c>
      <c r="B149" s="19" t="s">
        <v>406</v>
      </c>
      <c r="C149" s="552">
        <v>5373000</v>
      </c>
      <c r="D149" s="552">
        <v>291174</v>
      </c>
      <c r="E149" s="552">
        <v>292356</v>
      </c>
      <c r="F149" s="552">
        <v>272142</v>
      </c>
      <c r="G149" s="552">
        <v>303983</v>
      </c>
      <c r="H149" s="552">
        <v>367670</v>
      </c>
      <c r="I149" s="552">
        <v>363886</v>
      </c>
      <c r="J149" s="552">
        <v>347900</v>
      </c>
      <c r="K149" s="552">
        <v>320137</v>
      </c>
      <c r="L149" s="552">
        <v>349825</v>
      </c>
      <c r="M149" s="552">
        <v>395818</v>
      </c>
      <c r="N149" s="552">
        <v>405293</v>
      </c>
      <c r="O149" s="552">
        <v>362820</v>
      </c>
      <c r="P149" s="552">
        <v>316998</v>
      </c>
      <c r="Q149" s="552">
        <v>312955</v>
      </c>
      <c r="R149" s="552">
        <v>232326</v>
      </c>
      <c r="S149" s="552">
        <v>187569</v>
      </c>
      <c r="T149" s="552">
        <v>134341</v>
      </c>
      <c r="U149" s="552">
        <v>115807</v>
      </c>
      <c r="V149" s="552">
        <v>76012</v>
      </c>
      <c r="W149" s="552">
        <v>39795</v>
      </c>
      <c r="X149" s="551"/>
      <c r="Y149" s="551"/>
      <c r="Z149" s="551"/>
      <c r="AA149" s="551"/>
      <c r="AB149" s="551"/>
      <c r="AC149" s="551"/>
      <c r="AD149" s="551"/>
      <c r="AE149" s="551"/>
      <c r="AF149" s="551"/>
      <c r="AG149" s="551"/>
    </row>
    <row r="150" spans="1:33" x14ac:dyDescent="0.35">
      <c r="A150" s="551">
        <v>2016</v>
      </c>
      <c r="B150" s="19" t="s">
        <v>406</v>
      </c>
      <c r="C150" s="552">
        <v>5404700</v>
      </c>
      <c r="D150" s="552">
        <v>287238</v>
      </c>
      <c r="E150" s="552">
        <v>298862</v>
      </c>
      <c r="F150" s="552">
        <v>274378</v>
      </c>
      <c r="G150" s="552">
        <v>298660</v>
      </c>
      <c r="H150" s="552">
        <v>363967</v>
      </c>
      <c r="I150" s="552">
        <v>374124</v>
      </c>
      <c r="J150" s="552">
        <v>351913</v>
      </c>
      <c r="K150" s="552">
        <v>327753</v>
      </c>
      <c r="L150" s="552">
        <v>337638</v>
      </c>
      <c r="M150" s="552">
        <v>392251</v>
      </c>
      <c r="N150" s="552">
        <v>406691</v>
      </c>
      <c r="O150" s="552">
        <v>370821</v>
      </c>
      <c r="P150" s="552">
        <v>321552</v>
      </c>
      <c r="Q150" s="552">
        <v>317524</v>
      </c>
      <c r="R150" s="552">
        <v>239019</v>
      </c>
      <c r="S150" s="552">
        <v>186846</v>
      </c>
      <c r="T150" s="552">
        <v>136418</v>
      </c>
      <c r="U150" s="552">
        <v>119045</v>
      </c>
      <c r="V150" s="552">
        <v>77978</v>
      </c>
      <c r="W150" s="552">
        <v>41067</v>
      </c>
      <c r="X150" s="551"/>
      <c r="Y150" s="551"/>
      <c r="Z150" s="551"/>
      <c r="AA150" s="551"/>
      <c r="AB150" s="551"/>
      <c r="AC150" s="551"/>
      <c r="AD150" s="551"/>
      <c r="AE150" s="551"/>
      <c r="AF150" s="551"/>
      <c r="AG150" s="551"/>
    </row>
    <row r="151" spans="1:33" x14ac:dyDescent="0.35">
      <c r="A151" s="551">
        <v>2017</v>
      </c>
      <c r="B151" s="19" t="s">
        <v>406</v>
      </c>
      <c r="C151" s="552">
        <v>5424800</v>
      </c>
      <c r="D151" s="552">
        <v>282106</v>
      </c>
      <c r="E151" s="552">
        <v>301951</v>
      </c>
      <c r="F151" s="552">
        <v>280097</v>
      </c>
      <c r="G151" s="552">
        <v>290040</v>
      </c>
      <c r="H151" s="552">
        <v>356609</v>
      </c>
      <c r="I151" s="552">
        <v>382248</v>
      </c>
      <c r="J151" s="552">
        <v>355080</v>
      </c>
      <c r="K151" s="552">
        <v>339053</v>
      </c>
      <c r="L151" s="552">
        <v>325033</v>
      </c>
      <c r="M151" s="552">
        <v>385070</v>
      </c>
      <c r="N151" s="552">
        <v>407049</v>
      </c>
      <c r="O151" s="552">
        <v>378886</v>
      </c>
      <c r="P151" s="552">
        <v>329011</v>
      </c>
      <c r="Q151" s="552">
        <v>305066</v>
      </c>
      <c r="R151" s="552">
        <v>259530</v>
      </c>
      <c r="S151" s="552">
        <v>188262</v>
      </c>
      <c r="T151" s="552">
        <v>137893</v>
      </c>
      <c r="U151" s="552">
        <v>121816</v>
      </c>
      <c r="V151" s="552">
        <v>80091</v>
      </c>
      <c r="W151" s="552">
        <v>41725</v>
      </c>
      <c r="X151" s="551"/>
      <c r="Y151" s="551"/>
      <c r="Z151" s="551"/>
      <c r="AA151" s="551"/>
      <c r="AB151" s="551"/>
      <c r="AC151" s="551"/>
      <c r="AD151" s="551"/>
      <c r="AE151" s="551"/>
      <c r="AF151" s="551"/>
      <c r="AG151" s="551"/>
    </row>
    <row r="152" spans="1:33" x14ac:dyDescent="0.35">
      <c r="A152" s="551">
        <v>2018</v>
      </c>
      <c r="B152" s="19" t="s">
        <v>406</v>
      </c>
      <c r="C152" s="552">
        <v>5438100</v>
      </c>
      <c r="D152" s="552">
        <v>276862</v>
      </c>
      <c r="E152" s="552">
        <v>301089</v>
      </c>
      <c r="F152" s="552">
        <v>287790</v>
      </c>
      <c r="G152" s="552">
        <v>284564</v>
      </c>
      <c r="H152" s="552">
        <v>350624</v>
      </c>
      <c r="I152" s="552">
        <v>382340</v>
      </c>
      <c r="J152" s="552">
        <v>361258</v>
      </c>
      <c r="K152" s="552">
        <v>347997</v>
      </c>
      <c r="L152" s="552">
        <v>317522</v>
      </c>
      <c r="M152" s="552">
        <v>374287</v>
      </c>
      <c r="N152" s="552">
        <v>404687</v>
      </c>
      <c r="O152" s="552">
        <v>386660</v>
      </c>
      <c r="P152" s="552">
        <v>336306</v>
      </c>
      <c r="Q152" s="552">
        <v>300413</v>
      </c>
      <c r="R152" s="552">
        <v>270965</v>
      </c>
      <c r="S152" s="552">
        <v>191102</v>
      </c>
      <c r="T152" s="552">
        <v>140258</v>
      </c>
      <c r="U152" s="552">
        <v>123376</v>
      </c>
      <c r="V152" s="552">
        <v>81449</v>
      </c>
      <c r="W152" s="552">
        <v>41927</v>
      </c>
      <c r="X152" s="551"/>
      <c r="Y152" s="551"/>
      <c r="Z152" s="551"/>
      <c r="AA152" s="551"/>
      <c r="AB152" s="551"/>
      <c r="AC152" s="551"/>
      <c r="AD152" s="551"/>
      <c r="AE152" s="551"/>
      <c r="AF152" s="551"/>
      <c r="AG152" s="551"/>
    </row>
    <row r="153" spans="1:33" x14ac:dyDescent="0.35">
      <c r="A153" s="551">
        <v>2019</v>
      </c>
      <c r="B153" s="19" t="s">
        <v>406</v>
      </c>
      <c r="C153" s="552">
        <v>5463300</v>
      </c>
      <c r="D153" s="552">
        <v>271715</v>
      </c>
      <c r="E153" s="552">
        <v>299316</v>
      </c>
      <c r="F153" s="552">
        <v>294674</v>
      </c>
      <c r="G153" s="552">
        <v>281958</v>
      </c>
      <c r="H153" s="552">
        <v>347456</v>
      </c>
      <c r="I153" s="552">
        <v>382255</v>
      </c>
      <c r="J153" s="552">
        <v>369463</v>
      </c>
      <c r="K153" s="552">
        <v>352522</v>
      </c>
      <c r="L153" s="552">
        <v>319432</v>
      </c>
      <c r="M153" s="552">
        <v>361458</v>
      </c>
      <c r="N153" s="552">
        <v>401090</v>
      </c>
      <c r="O153" s="552">
        <v>393123</v>
      </c>
      <c r="P153" s="552">
        <v>344693</v>
      </c>
      <c r="Q153" s="552">
        <v>299444</v>
      </c>
      <c r="R153" s="552">
        <v>278856</v>
      </c>
      <c r="S153" s="552">
        <v>195951</v>
      </c>
      <c r="T153" s="552">
        <v>142807</v>
      </c>
      <c r="U153" s="552">
        <v>127087</v>
      </c>
      <c r="V153" s="552">
        <v>83429</v>
      </c>
      <c r="W153" s="552">
        <v>43658</v>
      </c>
      <c r="X153" s="551"/>
      <c r="Y153" s="551"/>
      <c r="Z153" s="551"/>
      <c r="AA153" s="551"/>
      <c r="AB153" s="551"/>
      <c r="AC153" s="551"/>
      <c r="AD153" s="551"/>
      <c r="AE153" s="551"/>
      <c r="AF153" s="551"/>
      <c r="AG153" s="551"/>
    </row>
    <row r="154" spans="1:33" x14ac:dyDescent="0.35">
      <c r="A154" s="551">
        <v>2020</v>
      </c>
      <c r="B154" s="19" t="s">
        <v>406</v>
      </c>
      <c r="C154" s="552">
        <v>5466000</v>
      </c>
      <c r="D154" s="552">
        <v>263806</v>
      </c>
      <c r="E154" s="552">
        <v>297903</v>
      </c>
      <c r="F154" s="552">
        <v>298081</v>
      </c>
      <c r="G154" s="552">
        <v>282120</v>
      </c>
      <c r="H154" s="552">
        <v>341755</v>
      </c>
      <c r="I154" s="552">
        <v>377204</v>
      </c>
      <c r="J154" s="552">
        <v>374069</v>
      </c>
      <c r="K154" s="552">
        <v>355666</v>
      </c>
      <c r="L154" s="552">
        <v>324366</v>
      </c>
      <c r="M154" s="552">
        <v>349924</v>
      </c>
      <c r="N154" s="552">
        <v>393113</v>
      </c>
      <c r="O154" s="552">
        <v>399344</v>
      </c>
      <c r="P154" s="552">
        <v>352569</v>
      </c>
      <c r="Q154" s="552">
        <v>300433</v>
      </c>
      <c r="R154" s="552">
        <v>285830</v>
      </c>
      <c r="S154" s="552">
        <v>198210</v>
      </c>
      <c r="T154" s="552">
        <v>143296</v>
      </c>
      <c r="U154" s="552">
        <v>128311</v>
      </c>
      <c r="V154" s="552">
        <v>84562</v>
      </c>
      <c r="W154" s="552">
        <v>43749</v>
      </c>
      <c r="X154" s="551"/>
      <c r="Y154" s="551"/>
      <c r="Z154" s="551"/>
      <c r="AA154" s="551"/>
      <c r="AB154" s="551"/>
      <c r="AC154" s="551"/>
      <c r="AD154" s="551"/>
      <c r="AE154" s="551"/>
      <c r="AF154" s="551"/>
      <c r="AG154" s="551"/>
    </row>
    <row r="155" spans="1:33" x14ac:dyDescent="0.35">
      <c r="A155" s="551">
        <v>2021</v>
      </c>
      <c r="B155" s="19" t="s">
        <v>406</v>
      </c>
      <c r="C155" s="552">
        <v>5479900</v>
      </c>
      <c r="D155" s="552">
        <v>255437</v>
      </c>
      <c r="E155" s="552">
        <v>293727</v>
      </c>
      <c r="F155" s="552">
        <v>304566</v>
      </c>
      <c r="G155" s="552">
        <v>283630</v>
      </c>
      <c r="H155" s="552">
        <v>331978</v>
      </c>
      <c r="I155" s="552">
        <v>370718</v>
      </c>
      <c r="J155" s="552">
        <v>383333</v>
      </c>
      <c r="K155" s="552">
        <v>359974</v>
      </c>
      <c r="L155" s="552">
        <v>332551</v>
      </c>
      <c r="M155" s="552">
        <v>338298</v>
      </c>
      <c r="N155" s="552">
        <v>389791</v>
      </c>
      <c r="O155" s="552">
        <v>401410</v>
      </c>
      <c r="P155" s="552">
        <v>360626</v>
      </c>
      <c r="Q155" s="552">
        <v>305424</v>
      </c>
      <c r="R155" s="552">
        <v>290154</v>
      </c>
      <c r="S155" s="552">
        <v>204299</v>
      </c>
      <c r="T155" s="552">
        <v>142675</v>
      </c>
      <c r="U155" s="552">
        <v>131309</v>
      </c>
      <c r="V155" s="552">
        <v>85988</v>
      </c>
      <c r="W155" s="552">
        <v>45321</v>
      </c>
      <c r="X155" s="551"/>
      <c r="Y155" s="551"/>
      <c r="Z155" s="551"/>
      <c r="AA155" s="551"/>
      <c r="AB155" s="551"/>
      <c r="AC155" s="551"/>
      <c r="AD155" s="551"/>
      <c r="AE155" s="551"/>
      <c r="AF155" s="551"/>
      <c r="AG155" s="551"/>
    </row>
    <row r="156" spans="1:33" x14ac:dyDescent="0.35">
      <c r="A156" s="551"/>
      <c r="B156" s="551"/>
      <c r="C156" s="552"/>
      <c r="D156" s="551"/>
      <c r="E156" s="551"/>
      <c r="F156" s="551"/>
      <c r="G156" s="551"/>
      <c r="H156" s="551"/>
      <c r="I156" s="551"/>
      <c r="J156" s="551"/>
      <c r="K156" s="551"/>
      <c r="L156" s="551"/>
      <c r="M156" s="551"/>
      <c r="N156" s="551"/>
      <c r="O156" s="551"/>
      <c r="P156" s="551"/>
      <c r="Q156" s="551"/>
      <c r="R156" s="551"/>
      <c r="S156" s="551"/>
      <c r="T156" s="551"/>
      <c r="U156" s="551"/>
      <c r="V156" s="551"/>
      <c r="W156" s="551"/>
      <c r="X156" s="551"/>
      <c r="Y156" s="551"/>
      <c r="Z156" s="551"/>
      <c r="AA156" s="551"/>
      <c r="AB156" s="551"/>
      <c r="AC156" s="551"/>
      <c r="AD156" s="551"/>
      <c r="AE156" s="551"/>
      <c r="AF156" s="551"/>
      <c r="AG156" s="551"/>
    </row>
    <row r="157" spans="1:33" x14ac:dyDescent="0.35">
      <c r="A157" s="551"/>
      <c r="B157" s="551"/>
      <c r="C157" s="552"/>
      <c r="D157" s="551"/>
      <c r="E157" s="551"/>
      <c r="F157" s="551"/>
      <c r="G157" s="551"/>
      <c r="H157" s="551"/>
      <c r="I157" s="551"/>
      <c r="J157" s="551"/>
      <c r="K157" s="551"/>
      <c r="L157" s="551"/>
      <c r="M157" s="551"/>
      <c r="N157" s="551"/>
      <c r="O157" s="551"/>
      <c r="P157" s="551"/>
      <c r="Q157" s="551"/>
      <c r="R157" s="551"/>
      <c r="S157" s="551"/>
      <c r="T157" s="551"/>
      <c r="U157" s="551"/>
      <c r="V157" s="551"/>
      <c r="W157" s="551"/>
      <c r="X157" s="551"/>
      <c r="Y157" s="551"/>
      <c r="Z157" s="551"/>
      <c r="AA157" s="551"/>
      <c r="AB157" s="551"/>
      <c r="AC157" s="551"/>
      <c r="AD157" s="551"/>
      <c r="AE157" s="551"/>
      <c r="AF157" s="551"/>
      <c r="AG157" s="551"/>
    </row>
    <row r="158" spans="1:33" x14ac:dyDescent="0.35">
      <c r="A158" s="551"/>
      <c r="B158" s="551"/>
      <c r="C158" s="551"/>
      <c r="D158" s="551"/>
      <c r="E158" s="551"/>
      <c r="F158" s="551"/>
      <c r="G158" s="551"/>
      <c r="H158" s="551"/>
      <c r="I158" s="551"/>
      <c r="J158" s="551"/>
      <c r="K158" s="551"/>
      <c r="L158" s="551"/>
      <c r="M158" s="551"/>
      <c r="N158" s="551"/>
      <c r="O158" s="551"/>
      <c r="P158" s="551"/>
      <c r="Q158" s="551"/>
      <c r="R158" s="551"/>
      <c r="S158" s="551"/>
      <c r="T158" s="551"/>
      <c r="U158" s="551"/>
      <c r="V158" s="551"/>
      <c r="W158" s="551"/>
      <c r="X158" s="551"/>
      <c r="Y158" s="551"/>
      <c r="Z158" s="551"/>
      <c r="AA158" s="551"/>
      <c r="AB158" s="551"/>
      <c r="AC158" s="551"/>
      <c r="AD158" s="551"/>
      <c r="AE158" s="551"/>
      <c r="AF158" s="551"/>
      <c r="AG158" s="551"/>
    </row>
    <row r="159" spans="1:33" x14ac:dyDescent="0.35">
      <c r="A159" s="551"/>
      <c r="B159" s="551"/>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1"/>
      <c r="AF159" s="551"/>
      <c r="AG159" s="551"/>
    </row>
    <row r="160" spans="1:33" x14ac:dyDescent="0.35">
      <c r="A160" s="551"/>
      <c r="B160" s="551"/>
      <c r="C160" s="551"/>
      <c r="D160" s="551"/>
      <c r="E160" s="551"/>
      <c r="F160" s="551"/>
      <c r="G160" s="551"/>
      <c r="H160" s="551"/>
      <c r="I160" s="551"/>
      <c r="J160" s="551"/>
      <c r="K160" s="551"/>
      <c r="L160" s="551"/>
      <c r="M160" s="551"/>
      <c r="N160" s="551"/>
      <c r="O160" s="551"/>
      <c r="P160" s="551"/>
      <c r="Q160" s="551"/>
      <c r="R160" s="551"/>
      <c r="S160" s="551"/>
      <c r="T160" s="551"/>
      <c r="U160" s="551"/>
      <c r="V160" s="551"/>
      <c r="W160" s="551"/>
      <c r="X160" s="551"/>
      <c r="Y160" s="551"/>
      <c r="Z160" s="551"/>
      <c r="AA160" s="551"/>
      <c r="AB160" s="551"/>
      <c r="AC160" s="551"/>
      <c r="AD160" s="551"/>
      <c r="AE160" s="551"/>
      <c r="AF160" s="551"/>
      <c r="AG160" s="551"/>
    </row>
    <row r="161" spans="1:33" x14ac:dyDescent="0.35">
      <c r="A161" s="551"/>
      <c r="B161" s="551"/>
      <c r="C161" s="551"/>
      <c r="D161" s="551"/>
      <c r="E161" s="551"/>
      <c r="F161" s="551"/>
      <c r="G161" s="551"/>
      <c r="H161" s="551"/>
      <c r="I161" s="551"/>
      <c r="J161" s="551"/>
      <c r="K161" s="551"/>
      <c r="L161" s="551"/>
      <c r="M161" s="551"/>
      <c r="N161" s="551"/>
      <c r="O161" s="551"/>
      <c r="P161" s="551"/>
      <c r="Q161" s="551"/>
      <c r="R161" s="551"/>
      <c r="S161" s="551"/>
      <c r="T161" s="551"/>
      <c r="U161" s="551"/>
      <c r="V161" s="551"/>
      <c r="W161" s="551"/>
      <c r="X161" s="551"/>
      <c r="Y161" s="551"/>
      <c r="Z161" s="551"/>
      <c r="AA161" s="551"/>
      <c r="AB161" s="551"/>
      <c r="AC161" s="551"/>
      <c r="AD161" s="551"/>
      <c r="AE161" s="551"/>
      <c r="AF161" s="551"/>
      <c r="AG161" s="551"/>
    </row>
    <row r="162" spans="1:33" x14ac:dyDescent="0.35">
      <c r="A162" s="551"/>
      <c r="B162" s="551"/>
      <c r="C162" s="551"/>
      <c r="D162" s="551"/>
      <c r="E162" s="551"/>
      <c r="F162" s="551"/>
      <c r="G162" s="551"/>
      <c r="H162" s="551"/>
      <c r="I162" s="551"/>
      <c r="J162" s="551"/>
      <c r="K162" s="551"/>
      <c r="L162" s="551"/>
      <c r="M162" s="551"/>
      <c r="N162" s="551"/>
      <c r="O162" s="551"/>
      <c r="P162" s="551"/>
      <c r="Q162" s="551"/>
      <c r="R162" s="551"/>
      <c r="S162" s="551"/>
      <c r="T162" s="551"/>
      <c r="U162" s="551"/>
      <c r="V162" s="551"/>
      <c r="W162" s="551"/>
      <c r="X162" s="551"/>
      <c r="Y162" s="551"/>
      <c r="Z162" s="551"/>
      <c r="AA162" s="551"/>
      <c r="AB162" s="551"/>
      <c r="AC162" s="551"/>
      <c r="AD162" s="551"/>
      <c r="AE162" s="551"/>
      <c r="AF162" s="551"/>
      <c r="AG162" s="551"/>
    </row>
    <row r="163" spans="1:33" x14ac:dyDescent="0.35">
      <c r="A163" s="551"/>
      <c r="B163" s="551"/>
      <c r="C163" s="551"/>
      <c r="D163" s="551"/>
      <c r="E163" s="551"/>
      <c r="F163" s="551"/>
      <c r="G163" s="551"/>
      <c r="H163" s="551"/>
      <c r="I163" s="551"/>
      <c r="J163" s="551"/>
      <c r="K163" s="551"/>
      <c r="L163" s="551"/>
      <c r="M163" s="551"/>
      <c r="N163" s="551"/>
      <c r="O163" s="551"/>
      <c r="P163" s="551"/>
      <c r="Q163" s="551"/>
      <c r="R163" s="551"/>
      <c r="S163" s="551"/>
      <c r="T163" s="551"/>
      <c r="U163" s="551"/>
      <c r="V163" s="551"/>
      <c r="W163" s="551"/>
      <c r="X163" s="551"/>
      <c r="Y163" s="551"/>
      <c r="Z163" s="551"/>
      <c r="AA163" s="551"/>
      <c r="AB163" s="551"/>
      <c r="AC163" s="551"/>
      <c r="AD163" s="551"/>
      <c r="AE163" s="551"/>
      <c r="AF163" s="551"/>
      <c r="AG163" s="551"/>
    </row>
    <row r="164" spans="1:33" x14ac:dyDescent="0.35">
      <c r="A164" s="551"/>
      <c r="B164" s="551"/>
      <c r="C164" s="551"/>
      <c r="D164" s="551"/>
      <c r="E164" s="551"/>
      <c r="F164" s="551"/>
      <c r="G164" s="551"/>
      <c r="H164" s="551"/>
      <c r="I164" s="551"/>
      <c r="J164" s="551"/>
      <c r="K164" s="551"/>
      <c r="L164" s="551"/>
      <c r="M164" s="551"/>
      <c r="N164" s="551"/>
      <c r="O164" s="551"/>
      <c r="P164" s="551"/>
      <c r="Q164" s="551"/>
      <c r="R164" s="551"/>
      <c r="S164" s="551"/>
      <c r="T164" s="551"/>
      <c r="U164" s="551"/>
      <c r="V164" s="551"/>
      <c r="W164" s="551"/>
      <c r="X164" s="551"/>
      <c r="Y164" s="551"/>
      <c r="Z164" s="551"/>
      <c r="AA164" s="551"/>
      <c r="AB164" s="551"/>
      <c r="AC164" s="551"/>
      <c r="AD164" s="551"/>
      <c r="AE164" s="551"/>
      <c r="AF164" s="551"/>
      <c r="AG164" s="551"/>
    </row>
    <row r="165" spans="1:33" x14ac:dyDescent="0.35">
      <c r="A165" s="551"/>
      <c r="B165" s="551"/>
      <c r="C165" s="551"/>
      <c r="D165" s="551"/>
      <c r="E165" s="551"/>
      <c r="F165" s="551"/>
      <c r="G165" s="551"/>
      <c r="H165" s="551"/>
      <c r="I165" s="551"/>
      <c r="J165" s="551"/>
      <c r="K165" s="551"/>
      <c r="L165" s="551"/>
      <c r="M165" s="551"/>
      <c r="N165" s="551"/>
      <c r="O165" s="551"/>
      <c r="P165" s="551"/>
      <c r="Q165" s="551"/>
      <c r="R165" s="551"/>
      <c r="S165" s="551"/>
      <c r="T165" s="551"/>
      <c r="U165" s="551"/>
      <c r="V165" s="551"/>
      <c r="W165" s="551"/>
      <c r="X165" s="551"/>
      <c r="Y165" s="551"/>
      <c r="Z165" s="551"/>
      <c r="AA165" s="551"/>
      <c r="AB165" s="551"/>
      <c r="AC165" s="551"/>
      <c r="AD165" s="551"/>
      <c r="AE165" s="551"/>
      <c r="AF165" s="551"/>
      <c r="AG165" s="551"/>
    </row>
    <row r="166" spans="1:33" x14ac:dyDescent="0.35">
      <c r="A166" s="551"/>
      <c r="B166" s="551"/>
      <c r="C166" s="551"/>
      <c r="D166" s="551"/>
      <c r="E166" s="551"/>
      <c r="F166" s="551"/>
      <c r="G166" s="551"/>
      <c r="H166" s="551"/>
      <c r="I166" s="551"/>
      <c r="J166" s="551"/>
      <c r="K166" s="551"/>
      <c r="L166" s="551"/>
      <c r="M166" s="551"/>
      <c r="N166" s="551"/>
      <c r="O166" s="551"/>
      <c r="P166" s="551"/>
      <c r="Q166" s="551"/>
      <c r="R166" s="551"/>
      <c r="S166" s="551"/>
      <c r="T166" s="551"/>
      <c r="U166" s="551"/>
      <c r="V166" s="551"/>
      <c r="W166" s="551"/>
      <c r="X166" s="551"/>
      <c r="Y166" s="551"/>
      <c r="Z166" s="551"/>
      <c r="AA166" s="551"/>
      <c r="AB166" s="551"/>
      <c r="AC166" s="551"/>
      <c r="AD166" s="551"/>
      <c r="AE166" s="551"/>
      <c r="AF166" s="551"/>
      <c r="AG166" s="551"/>
    </row>
    <row r="167" spans="1:33" x14ac:dyDescent="0.35">
      <c r="A167" s="551"/>
      <c r="B167" s="551"/>
      <c r="C167" s="551"/>
      <c r="D167" s="551"/>
      <c r="E167" s="551"/>
      <c r="F167" s="551"/>
      <c r="G167" s="551"/>
      <c r="H167" s="551"/>
      <c r="I167" s="551"/>
      <c r="J167" s="551"/>
      <c r="K167" s="551"/>
      <c r="L167" s="551"/>
      <c r="M167" s="551"/>
      <c r="N167" s="551"/>
      <c r="O167" s="551"/>
      <c r="P167" s="551"/>
      <c r="Q167" s="551"/>
      <c r="R167" s="551"/>
      <c r="S167" s="551"/>
      <c r="T167" s="551"/>
      <c r="U167" s="551"/>
      <c r="V167" s="551"/>
      <c r="W167" s="551"/>
      <c r="X167" s="551"/>
      <c r="Y167" s="551"/>
      <c r="Z167" s="551"/>
      <c r="AA167" s="551"/>
      <c r="AB167" s="551"/>
      <c r="AC167" s="551"/>
      <c r="AD167" s="551"/>
      <c r="AE167" s="551"/>
      <c r="AF167" s="551"/>
      <c r="AG167" s="551"/>
    </row>
    <row r="168" spans="1:33" x14ac:dyDescent="0.35">
      <c r="A168" s="551"/>
      <c r="B168" s="551"/>
      <c r="C168" s="551"/>
      <c r="D168" s="551"/>
      <c r="E168" s="551"/>
      <c r="F168" s="551"/>
      <c r="G168" s="551"/>
      <c r="H168" s="551"/>
      <c r="I168" s="551"/>
      <c r="J168" s="551"/>
      <c r="K168" s="551"/>
      <c r="L168" s="551"/>
      <c r="M168" s="551"/>
      <c r="N168" s="551"/>
      <c r="O168" s="551"/>
      <c r="P168" s="551"/>
      <c r="Q168" s="551"/>
      <c r="R168" s="551"/>
      <c r="S168" s="551"/>
      <c r="T168" s="551"/>
      <c r="U168" s="551"/>
      <c r="V168" s="551"/>
      <c r="W168" s="551"/>
      <c r="X168" s="551"/>
      <c r="Y168" s="551"/>
      <c r="Z168" s="551"/>
      <c r="AA168" s="551"/>
      <c r="AB168" s="551"/>
      <c r="AC168" s="551"/>
      <c r="AD168" s="551"/>
      <c r="AE168" s="551"/>
      <c r="AF168" s="551"/>
      <c r="AG168" s="551"/>
    </row>
    <row r="169" spans="1:33" x14ac:dyDescent="0.35">
      <c r="A169" s="551"/>
      <c r="B169" s="551"/>
      <c r="C169" s="551"/>
      <c r="D169" s="551"/>
      <c r="E169" s="551"/>
      <c r="F169" s="551"/>
      <c r="G169" s="551"/>
      <c r="H169" s="551"/>
      <c r="I169" s="551"/>
      <c r="J169" s="551"/>
      <c r="K169" s="551"/>
      <c r="L169" s="551"/>
      <c r="M169" s="551"/>
      <c r="N169" s="551"/>
      <c r="O169" s="551"/>
      <c r="P169" s="551"/>
      <c r="Q169" s="551"/>
      <c r="R169" s="551"/>
      <c r="S169" s="551"/>
      <c r="T169" s="551"/>
      <c r="U169" s="551"/>
      <c r="V169" s="551"/>
      <c r="W169" s="551"/>
      <c r="X169" s="551"/>
      <c r="Y169" s="551"/>
      <c r="Z169" s="551"/>
      <c r="AA169" s="551"/>
      <c r="AB169" s="551"/>
      <c r="AC169" s="551"/>
      <c r="AD169" s="551"/>
      <c r="AE169" s="551"/>
      <c r="AF169" s="551"/>
      <c r="AG169" s="551"/>
    </row>
    <row r="170" spans="1:33" x14ac:dyDescent="0.35">
      <c r="A170" s="551"/>
      <c r="B170" s="551"/>
      <c r="C170" s="551"/>
      <c r="D170" s="551"/>
      <c r="E170" s="551"/>
      <c r="F170" s="551"/>
      <c r="G170" s="551"/>
      <c r="H170" s="551"/>
      <c r="I170" s="551"/>
      <c r="J170" s="551"/>
      <c r="K170" s="551"/>
      <c r="L170" s="551"/>
      <c r="M170" s="551"/>
      <c r="N170" s="551"/>
      <c r="O170" s="551"/>
      <c r="P170" s="551"/>
      <c r="Q170" s="551"/>
      <c r="R170" s="551"/>
      <c r="S170" s="551"/>
      <c r="T170" s="551"/>
      <c r="U170" s="551"/>
      <c r="V170" s="551"/>
      <c r="W170" s="551"/>
      <c r="X170" s="551"/>
      <c r="Y170" s="551"/>
      <c r="Z170" s="551"/>
      <c r="AA170" s="551"/>
      <c r="AB170" s="551"/>
      <c r="AC170" s="551"/>
      <c r="AD170" s="551"/>
      <c r="AE170" s="551"/>
      <c r="AF170" s="551"/>
      <c r="AG170" s="551"/>
    </row>
    <row r="171" spans="1:33" x14ac:dyDescent="0.35">
      <c r="A171" s="551"/>
      <c r="B171" s="551"/>
      <c r="C171" s="551"/>
      <c r="D171" s="551"/>
      <c r="E171" s="551"/>
      <c r="F171" s="551"/>
      <c r="G171" s="551"/>
      <c r="H171" s="551"/>
      <c r="I171" s="551"/>
      <c r="J171" s="551"/>
      <c r="K171" s="551"/>
      <c r="L171" s="551"/>
      <c r="M171" s="551"/>
      <c r="N171" s="551"/>
      <c r="O171" s="551"/>
      <c r="P171" s="551"/>
      <c r="Q171" s="551"/>
      <c r="R171" s="551"/>
      <c r="S171" s="551"/>
      <c r="T171" s="551"/>
      <c r="U171" s="551"/>
      <c r="V171" s="551"/>
      <c r="W171" s="551"/>
      <c r="X171" s="551"/>
      <c r="Y171" s="551"/>
      <c r="Z171" s="551"/>
      <c r="AA171" s="551"/>
      <c r="AB171" s="551"/>
      <c r="AC171" s="551"/>
      <c r="AD171" s="551"/>
      <c r="AE171" s="551"/>
      <c r="AF171" s="551"/>
      <c r="AG171" s="551"/>
    </row>
    <row r="172" spans="1:33" x14ac:dyDescent="0.35">
      <c r="A172" s="551"/>
      <c r="B172" s="551"/>
      <c r="C172" s="551"/>
      <c r="D172" s="551"/>
      <c r="E172" s="551"/>
      <c r="F172" s="551"/>
      <c r="G172" s="551"/>
      <c r="H172" s="551"/>
      <c r="I172" s="551"/>
      <c r="J172" s="551"/>
      <c r="K172" s="551"/>
      <c r="L172" s="551"/>
      <c r="M172" s="551"/>
      <c r="N172" s="551"/>
      <c r="O172" s="551"/>
      <c r="P172" s="551"/>
      <c r="Q172" s="551"/>
      <c r="R172" s="551"/>
      <c r="S172" s="551"/>
      <c r="T172" s="551"/>
      <c r="U172" s="551"/>
      <c r="V172" s="551"/>
      <c r="W172" s="551"/>
      <c r="X172" s="551"/>
      <c r="Y172" s="551"/>
      <c r="Z172" s="551"/>
      <c r="AA172" s="551"/>
      <c r="AB172" s="551"/>
      <c r="AC172" s="551"/>
      <c r="AD172" s="551"/>
      <c r="AE172" s="551"/>
      <c r="AF172" s="551"/>
      <c r="AG172" s="551"/>
    </row>
    <row r="173" spans="1:33" x14ac:dyDescent="0.35">
      <c r="A173" s="551"/>
      <c r="B173" s="551"/>
      <c r="C173" s="551"/>
      <c r="D173" s="551"/>
      <c r="E173" s="551"/>
      <c r="F173" s="551"/>
      <c r="G173" s="551"/>
      <c r="H173" s="551"/>
      <c r="I173" s="551"/>
      <c r="J173" s="551"/>
      <c r="K173" s="551"/>
      <c r="L173" s="551"/>
      <c r="M173" s="551"/>
      <c r="N173" s="551"/>
      <c r="O173" s="551"/>
      <c r="P173" s="551"/>
      <c r="Q173" s="551"/>
      <c r="R173" s="551"/>
      <c r="S173" s="551"/>
      <c r="T173" s="551"/>
      <c r="U173" s="551"/>
      <c r="V173" s="551"/>
      <c r="W173" s="551"/>
      <c r="X173" s="551"/>
      <c r="Y173" s="551"/>
      <c r="Z173" s="551"/>
      <c r="AA173" s="551"/>
      <c r="AB173" s="551"/>
      <c r="AC173" s="551"/>
      <c r="AD173" s="551"/>
      <c r="AE173" s="551"/>
      <c r="AF173" s="551"/>
      <c r="AG173" s="551"/>
    </row>
    <row r="174" spans="1:33" x14ac:dyDescent="0.35">
      <c r="A174" s="551"/>
      <c r="B174" s="551"/>
      <c r="C174" s="551"/>
      <c r="D174" s="551"/>
      <c r="E174" s="551"/>
      <c r="F174" s="551"/>
      <c r="G174" s="551"/>
      <c r="H174" s="551"/>
      <c r="I174" s="551"/>
      <c r="J174" s="551"/>
      <c r="K174" s="551"/>
      <c r="L174" s="551"/>
      <c r="M174" s="551"/>
      <c r="N174" s="551"/>
      <c r="O174" s="551"/>
      <c r="P174" s="551"/>
      <c r="Q174" s="551"/>
      <c r="R174" s="551"/>
      <c r="S174" s="551"/>
      <c r="T174" s="551"/>
      <c r="U174" s="551"/>
      <c r="V174" s="551"/>
      <c r="W174" s="551"/>
      <c r="X174" s="551"/>
      <c r="Y174" s="551"/>
      <c r="Z174" s="551"/>
      <c r="AA174" s="551"/>
      <c r="AB174" s="551"/>
      <c r="AC174" s="551"/>
      <c r="AD174" s="551"/>
      <c r="AE174" s="551"/>
      <c r="AF174" s="551"/>
      <c r="AG174" s="551"/>
    </row>
    <row r="175" spans="1:33" x14ac:dyDescent="0.35">
      <c r="A175" s="551"/>
      <c r="B175" s="551"/>
      <c r="C175" s="551"/>
      <c r="D175" s="551"/>
      <c r="E175" s="551"/>
      <c r="F175" s="551"/>
      <c r="G175" s="551"/>
      <c r="H175" s="551"/>
      <c r="I175" s="551"/>
      <c r="J175" s="551"/>
      <c r="K175" s="551"/>
      <c r="L175" s="551"/>
      <c r="M175" s="551"/>
      <c r="N175" s="551"/>
      <c r="O175" s="551"/>
      <c r="P175" s="551"/>
      <c r="Q175" s="551"/>
      <c r="R175" s="551"/>
      <c r="S175" s="551"/>
      <c r="T175" s="551"/>
      <c r="U175" s="551"/>
      <c r="V175" s="551"/>
      <c r="W175" s="551"/>
      <c r="X175" s="551"/>
      <c r="Y175" s="551"/>
      <c r="Z175" s="551"/>
      <c r="AA175" s="551"/>
      <c r="AB175" s="551"/>
      <c r="AC175" s="551"/>
      <c r="AD175" s="551"/>
      <c r="AE175" s="551"/>
      <c r="AF175" s="551"/>
      <c r="AG175" s="551"/>
    </row>
    <row r="176" spans="1:33" x14ac:dyDescent="0.35">
      <c r="A176" s="551"/>
      <c r="B176" s="551"/>
      <c r="C176" s="551"/>
      <c r="D176" s="551"/>
      <c r="E176" s="551"/>
      <c r="F176" s="551"/>
      <c r="G176" s="551"/>
      <c r="H176" s="551"/>
      <c r="I176" s="551"/>
      <c r="J176" s="551"/>
      <c r="K176" s="551"/>
      <c r="L176" s="551"/>
      <c r="M176" s="551"/>
      <c r="N176" s="551"/>
      <c r="O176" s="551"/>
      <c r="P176" s="551"/>
      <c r="Q176" s="551"/>
      <c r="R176" s="551"/>
      <c r="S176" s="551"/>
      <c r="T176" s="551"/>
      <c r="U176" s="551"/>
      <c r="V176" s="551"/>
      <c r="W176" s="551"/>
      <c r="X176" s="551"/>
      <c r="Y176" s="551"/>
      <c r="Z176" s="551"/>
      <c r="AA176" s="551"/>
      <c r="AB176" s="551"/>
      <c r="AC176" s="551"/>
      <c r="AD176" s="551"/>
      <c r="AE176" s="551"/>
      <c r="AF176" s="551"/>
      <c r="AG176" s="551"/>
    </row>
    <row r="177" spans="1:33" x14ac:dyDescent="0.35">
      <c r="A177" s="551"/>
      <c r="B177" s="551"/>
      <c r="C177" s="551"/>
      <c r="D177" s="551"/>
      <c r="E177" s="551"/>
      <c r="F177" s="551"/>
      <c r="G177" s="551"/>
      <c r="H177" s="551"/>
      <c r="I177" s="551"/>
      <c r="J177" s="551"/>
      <c r="K177" s="551"/>
      <c r="L177" s="551"/>
      <c r="M177" s="551"/>
      <c r="N177" s="551"/>
      <c r="O177" s="551"/>
      <c r="P177" s="551"/>
      <c r="Q177" s="551"/>
      <c r="R177" s="551"/>
      <c r="S177" s="551"/>
      <c r="T177" s="551"/>
      <c r="U177" s="551"/>
      <c r="V177" s="551"/>
      <c r="W177" s="551"/>
      <c r="X177" s="551"/>
      <c r="Y177" s="551"/>
      <c r="Z177" s="551"/>
      <c r="AA177" s="551"/>
      <c r="AB177" s="551"/>
      <c r="AC177" s="551"/>
      <c r="AD177" s="551"/>
      <c r="AE177" s="551"/>
      <c r="AF177" s="551"/>
      <c r="AG177" s="551"/>
    </row>
    <row r="178" spans="1:33" x14ac:dyDescent="0.35">
      <c r="A178" s="551"/>
      <c r="B178" s="551"/>
      <c r="C178" s="551"/>
      <c r="D178" s="551"/>
      <c r="E178" s="551"/>
      <c r="F178" s="551"/>
      <c r="G178" s="551"/>
      <c r="H178" s="551"/>
      <c r="I178" s="551"/>
      <c r="J178" s="551"/>
      <c r="K178" s="551"/>
      <c r="L178" s="551"/>
      <c r="M178" s="551"/>
      <c r="N178" s="551"/>
      <c r="O178" s="551"/>
      <c r="P178" s="551"/>
      <c r="Q178" s="551"/>
      <c r="R178" s="551"/>
      <c r="S178" s="551"/>
      <c r="T178" s="551"/>
      <c r="U178" s="551"/>
      <c r="V178" s="551"/>
      <c r="W178" s="551"/>
      <c r="X178" s="551"/>
      <c r="Y178" s="551"/>
      <c r="Z178" s="551"/>
      <c r="AA178" s="551"/>
      <c r="AB178" s="551"/>
      <c r="AC178" s="551"/>
      <c r="AD178" s="551"/>
      <c r="AE178" s="551"/>
      <c r="AF178" s="551"/>
      <c r="AG178" s="551"/>
    </row>
    <row r="179" spans="1:33" x14ac:dyDescent="0.35">
      <c r="A179" s="551"/>
      <c r="B179" s="551"/>
      <c r="C179" s="551"/>
      <c r="D179" s="551"/>
      <c r="E179" s="551"/>
      <c r="F179" s="551"/>
      <c r="G179" s="551"/>
      <c r="H179" s="551"/>
      <c r="I179" s="551"/>
      <c r="J179" s="551"/>
      <c r="K179" s="551"/>
      <c r="L179" s="551"/>
      <c r="M179" s="551"/>
      <c r="N179" s="551"/>
      <c r="O179" s="551"/>
      <c r="P179" s="551"/>
      <c r="Q179" s="551"/>
      <c r="R179" s="551"/>
      <c r="S179" s="551"/>
      <c r="T179" s="551"/>
      <c r="U179" s="551"/>
      <c r="V179" s="551"/>
      <c r="W179" s="551"/>
      <c r="X179" s="551"/>
      <c r="Y179" s="551"/>
      <c r="Z179" s="551"/>
      <c r="AA179" s="551"/>
      <c r="AB179" s="551"/>
      <c r="AC179" s="551"/>
      <c r="AD179" s="551"/>
      <c r="AE179" s="551"/>
      <c r="AF179" s="551"/>
      <c r="AG179" s="551"/>
    </row>
    <row r="180" spans="1:33" x14ac:dyDescent="0.35">
      <c r="A180" s="551"/>
      <c r="B180" s="551"/>
      <c r="C180" s="551"/>
      <c r="D180" s="551"/>
      <c r="E180" s="551"/>
      <c r="F180" s="551"/>
      <c r="G180" s="551"/>
      <c r="H180" s="551"/>
      <c r="I180" s="551"/>
      <c r="J180" s="551"/>
      <c r="K180" s="551"/>
      <c r="L180" s="551"/>
      <c r="M180" s="551"/>
      <c r="N180" s="551"/>
      <c r="O180" s="551"/>
      <c r="P180" s="551"/>
      <c r="Q180" s="551"/>
      <c r="R180" s="551"/>
      <c r="S180" s="551"/>
      <c r="T180" s="551"/>
      <c r="U180" s="551"/>
      <c r="V180" s="551"/>
      <c r="W180" s="551"/>
      <c r="X180" s="551"/>
      <c r="Y180" s="551"/>
      <c r="Z180" s="551"/>
      <c r="AA180" s="551"/>
      <c r="AB180" s="551"/>
      <c r="AC180" s="551"/>
      <c r="AD180" s="551"/>
      <c r="AE180" s="551"/>
      <c r="AF180" s="551"/>
      <c r="AG180" s="551"/>
    </row>
    <row r="181" spans="1:33" x14ac:dyDescent="0.35">
      <c r="A181" s="551"/>
      <c r="B181" s="551"/>
      <c r="C181" s="551"/>
      <c r="D181" s="551"/>
      <c r="E181" s="551"/>
      <c r="F181" s="551"/>
      <c r="G181" s="551"/>
      <c r="H181" s="551"/>
      <c r="I181" s="551"/>
      <c r="J181" s="551"/>
      <c r="K181" s="551"/>
      <c r="L181" s="551"/>
      <c r="M181" s="551"/>
      <c r="N181" s="551"/>
      <c r="O181" s="551"/>
      <c r="P181" s="551"/>
      <c r="Q181" s="551"/>
      <c r="R181" s="551"/>
      <c r="S181" s="551"/>
      <c r="T181" s="551"/>
      <c r="U181" s="551"/>
      <c r="V181" s="551"/>
      <c r="W181" s="551"/>
      <c r="X181" s="551"/>
      <c r="Y181" s="551"/>
      <c r="Z181" s="551"/>
      <c r="AA181" s="551"/>
      <c r="AB181" s="551"/>
      <c r="AC181" s="551"/>
      <c r="AD181" s="551"/>
      <c r="AE181" s="551"/>
      <c r="AF181" s="551"/>
      <c r="AG181" s="551"/>
    </row>
    <row r="182" spans="1:33" x14ac:dyDescent="0.35">
      <c r="A182" s="551"/>
      <c r="B182" s="551"/>
      <c r="C182" s="551"/>
      <c r="D182" s="551"/>
      <c r="E182" s="551"/>
      <c r="F182" s="551"/>
      <c r="G182" s="551"/>
      <c r="H182" s="551"/>
      <c r="I182" s="551"/>
      <c r="J182" s="551"/>
      <c r="K182" s="551"/>
      <c r="L182" s="551"/>
      <c r="M182" s="551"/>
      <c r="N182" s="551"/>
      <c r="O182" s="551"/>
      <c r="P182" s="551"/>
      <c r="Q182" s="551"/>
      <c r="R182" s="551"/>
      <c r="S182" s="551"/>
      <c r="T182" s="551"/>
      <c r="U182" s="551"/>
      <c r="V182" s="551"/>
      <c r="W182" s="551"/>
      <c r="X182" s="551"/>
      <c r="Y182" s="551"/>
      <c r="Z182" s="551"/>
      <c r="AA182" s="551"/>
      <c r="AB182" s="551"/>
      <c r="AC182" s="551"/>
      <c r="AD182" s="551"/>
      <c r="AE182" s="551"/>
      <c r="AF182" s="551"/>
      <c r="AG182" s="551"/>
    </row>
    <row r="183" spans="1:33" x14ac:dyDescent="0.35">
      <c r="A183" s="551"/>
      <c r="B183" s="551"/>
      <c r="C183" s="551"/>
      <c r="D183" s="551"/>
      <c r="E183" s="551"/>
      <c r="F183" s="551"/>
      <c r="G183" s="551"/>
      <c r="H183" s="551"/>
      <c r="I183" s="551"/>
      <c r="J183" s="551"/>
      <c r="K183" s="551"/>
      <c r="L183" s="551"/>
      <c r="M183" s="551"/>
      <c r="N183" s="551"/>
      <c r="O183" s="551"/>
      <c r="P183" s="551"/>
      <c r="Q183" s="551"/>
      <c r="R183" s="551"/>
      <c r="S183" s="551"/>
      <c r="T183" s="551"/>
      <c r="U183" s="551"/>
      <c r="V183" s="551"/>
      <c r="W183" s="551"/>
      <c r="X183" s="551"/>
      <c r="Y183" s="551"/>
      <c r="Z183" s="551"/>
      <c r="AA183" s="551"/>
      <c r="AB183" s="551"/>
      <c r="AC183" s="551"/>
      <c r="AD183" s="551"/>
      <c r="AE183" s="551"/>
      <c r="AF183" s="551"/>
      <c r="AG183" s="551"/>
    </row>
    <row r="184" spans="1:33" x14ac:dyDescent="0.35">
      <c r="A184" s="551"/>
      <c r="B184" s="551"/>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row>
    <row r="185" spans="1:33" x14ac:dyDescent="0.35">
      <c r="A185" s="551"/>
      <c r="B185" s="551"/>
      <c r="C185" s="551"/>
      <c r="D185" s="551"/>
      <c r="E185" s="551"/>
      <c r="F185" s="551"/>
      <c r="G185" s="551"/>
      <c r="H185" s="551"/>
      <c r="I185" s="551"/>
      <c r="J185" s="551"/>
      <c r="K185" s="551"/>
      <c r="L185" s="551"/>
      <c r="M185" s="551"/>
      <c r="N185" s="551"/>
      <c r="O185" s="551"/>
      <c r="P185" s="551"/>
      <c r="Q185" s="551"/>
      <c r="R185" s="551"/>
      <c r="S185" s="551"/>
      <c r="T185" s="551"/>
      <c r="U185" s="551"/>
      <c r="V185" s="551"/>
      <c r="W185" s="551"/>
      <c r="X185" s="551"/>
      <c r="Y185" s="551"/>
      <c r="Z185" s="551"/>
      <c r="AA185" s="551"/>
      <c r="AB185" s="551"/>
      <c r="AC185" s="551"/>
      <c r="AD185" s="551"/>
      <c r="AE185" s="551"/>
      <c r="AF185" s="551"/>
      <c r="AG185" s="551"/>
    </row>
    <row r="186" spans="1:33" x14ac:dyDescent="0.35">
      <c r="A186" s="551"/>
      <c r="B186" s="551"/>
      <c r="C186" s="551"/>
      <c r="D186" s="551"/>
      <c r="E186" s="551"/>
      <c r="F186" s="551"/>
      <c r="G186" s="551"/>
      <c r="H186" s="551"/>
      <c r="I186" s="551"/>
      <c r="J186" s="551"/>
      <c r="K186" s="551"/>
      <c r="L186" s="551"/>
      <c r="M186" s="551"/>
      <c r="N186" s="551"/>
      <c r="O186" s="551"/>
      <c r="P186" s="551"/>
      <c r="Q186" s="551"/>
      <c r="R186" s="551"/>
      <c r="S186" s="551"/>
      <c r="T186" s="551"/>
      <c r="U186" s="551"/>
      <c r="V186" s="551"/>
      <c r="W186" s="551"/>
      <c r="X186" s="551"/>
      <c r="Y186" s="551"/>
      <c r="Z186" s="551"/>
      <c r="AA186" s="551"/>
      <c r="AB186" s="551"/>
      <c r="AC186" s="551"/>
      <c r="AD186" s="551"/>
      <c r="AE186" s="551"/>
      <c r="AF186" s="551"/>
      <c r="AG186" s="551"/>
    </row>
    <row r="187" spans="1:33" x14ac:dyDescent="0.35">
      <c r="A187" s="551"/>
      <c r="B187" s="551"/>
      <c r="C187" s="551"/>
      <c r="D187" s="551"/>
      <c r="E187" s="551"/>
      <c r="F187" s="551"/>
      <c r="G187" s="551"/>
      <c r="H187" s="551"/>
      <c r="I187" s="551"/>
      <c r="J187" s="551"/>
      <c r="K187" s="551"/>
      <c r="L187" s="551"/>
      <c r="M187" s="551"/>
      <c r="N187" s="551"/>
      <c r="O187" s="551"/>
      <c r="P187" s="551"/>
      <c r="Q187" s="551"/>
      <c r="R187" s="551"/>
      <c r="S187" s="551"/>
      <c r="T187" s="551"/>
      <c r="U187" s="551"/>
      <c r="V187" s="551"/>
      <c r="W187" s="551"/>
      <c r="X187" s="551"/>
      <c r="Y187" s="551"/>
      <c r="Z187" s="551"/>
      <c r="AA187" s="551"/>
      <c r="AB187" s="551"/>
      <c r="AC187" s="551"/>
      <c r="AD187" s="551"/>
      <c r="AE187" s="551"/>
      <c r="AF187" s="551"/>
      <c r="AG187" s="551"/>
    </row>
    <row r="188" spans="1:33" x14ac:dyDescent="0.35">
      <c r="A188" s="551"/>
      <c r="B188" s="551"/>
      <c r="C188" s="551"/>
      <c r="D188" s="551"/>
      <c r="E188" s="551"/>
      <c r="F188" s="551"/>
      <c r="G188" s="551"/>
      <c r="H188" s="551"/>
      <c r="I188" s="551"/>
      <c r="J188" s="551"/>
      <c r="K188" s="551"/>
      <c r="L188" s="551"/>
      <c r="M188" s="551"/>
      <c r="N188" s="551"/>
      <c r="O188" s="551"/>
      <c r="P188" s="551"/>
      <c r="Q188" s="551"/>
      <c r="R188" s="551"/>
      <c r="S188" s="551"/>
      <c r="T188" s="551"/>
      <c r="U188" s="551"/>
      <c r="V188" s="551"/>
      <c r="W188" s="551"/>
      <c r="X188" s="551"/>
      <c r="Y188" s="551"/>
      <c r="Z188" s="551"/>
      <c r="AA188" s="551"/>
      <c r="AB188" s="551"/>
      <c r="AC188" s="551"/>
      <c r="AD188" s="551"/>
      <c r="AE188" s="551"/>
      <c r="AF188" s="551"/>
      <c r="AG188" s="551"/>
    </row>
    <row r="189" spans="1:33" x14ac:dyDescent="0.35">
      <c r="A189" s="551"/>
      <c r="B189" s="551"/>
      <c r="C189" s="551"/>
      <c r="D189" s="551"/>
      <c r="E189" s="551"/>
      <c r="F189" s="551"/>
      <c r="G189" s="551"/>
      <c r="H189" s="551"/>
      <c r="I189" s="551"/>
      <c r="J189" s="551"/>
      <c r="K189" s="551"/>
      <c r="L189" s="551"/>
      <c r="M189" s="551"/>
      <c r="N189" s="551"/>
      <c r="O189" s="551"/>
      <c r="P189" s="551"/>
      <c r="Q189" s="551"/>
      <c r="R189" s="551"/>
      <c r="S189" s="551"/>
      <c r="T189" s="551"/>
      <c r="U189" s="551"/>
      <c r="V189" s="551"/>
      <c r="W189" s="551"/>
      <c r="X189" s="551"/>
      <c r="Y189" s="551"/>
      <c r="Z189" s="551"/>
      <c r="AA189" s="551"/>
      <c r="AB189" s="551"/>
      <c r="AC189" s="551"/>
      <c r="AD189" s="551"/>
      <c r="AE189" s="551"/>
      <c r="AF189" s="551"/>
      <c r="AG189" s="551"/>
    </row>
    <row r="190" spans="1:33" x14ac:dyDescent="0.35">
      <c r="A190" s="551"/>
      <c r="B190" s="551"/>
      <c r="C190" s="551"/>
      <c r="D190" s="551"/>
      <c r="E190" s="551"/>
      <c r="F190" s="551"/>
      <c r="G190" s="551"/>
      <c r="H190" s="551"/>
      <c r="I190" s="551"/>
      <c r="J190" s="551"/>
      <c r="K190" s="551"/>
      <c r="L190" s="551"/>
      <c r="M190" s="551"/>
      <c r="N190" s="551"/>
      <c r="O190" s="551"/>
      <c r="P190" s="551"/>
      <c r="Q190" s="551"/>
      <c r="R190" s="551"/>
      <c r="S190" s="551"/>
      <c r="T190" s="551"/>
      <c r="U190" s="551"/>
      <c r="V190" s="551"/>
      <c r="W190" s="551"/>
      <c r="X190" s="551"/>
      <c r="Y190" s="551"/>
      <c r="Z190" s="551"/>
      <c r="AA190" s="551"/>
      <c r="AB190" s="551"/>
      <c r="AC190" s="551"/>
      <c r="AD190" s="551"/>
      <c r="AE190" s="551"/>
      <c r="AF190" s="551"/>
      <c r="AG190" s="551"/>
    </row>
    <row r="191" spans="1:33" x14ac:dyDescent="0.35">
      <c r="A191" s="551"/>
      <c r="B191" s="551"/>
      <c r="C191" s="551"/>
      <c r="D191" s="551"/>
      <c r="E191" s="551"/>
      <c r="F191" s="551"/>
      <c r="G191" s="551"/>
      <c r="H191" s="551"/>
      <c r="I191" s="551"/>
      <c r="J191" s="551"/>
      <c r="K191" s="551"/>
      <c r="L191" s="551"/>
      <c r="M191" s="551"/>
      <c r="N191" s="551"/>
      <c r="O191" s="551"/>
      <c r="P191" s="551"/>
      <c r="Q191" s="551"/>
      <c r="R191" s="551"/>
      <c r="S191" s="551"/>
      <c r="T191" s="551"/>
      <c r="U191" s="551"/>
      <c r="V191" s="551"/>
      <c r="W191" s="551"/>
      <c r="X191" s="551"/>
      <c r="Y191" s="551"/>
      <c r="Z191" s="551"/>
      <c r="AA191" s="551"/>
      <c r="AB191" s="551"/>
      <c r="AC191" s="551"/>
      <c r="AD191" s="551"/>
      <c r="AE191" s="551"/>
      <c r="AF191" s="551"/>
      <c r="AG191" s="551"/>
    </row>
    <row r="192" spans="1:33" x14ac:dyDescent="0.35">
      <c r="A192" s="551"/>
      <c r="B192" s="551"/>
      <c r="C192" s="551"/>
      <c r="D192" s="551"/>
      <c r="E192" s="551"/>
      <c r="F192" s="551"/>
      <c r="G192" s="551"/>
      <c r="H192" s="551"/>
      <c r="I192" s="551"/>
      <c r="J192" s="551"/>
      <c r="K192" s="551"/>
      <c r="L192" s="551"/>
      <c r="M192" s="551"/>
      <c r="N192" s="551"/>
      <c r="O192" s="551"/>
      <c r="P192" s="551"/>
      <c r="Q192" s="551"/>
      <c r="R192" s="551"/>
      <c r="S192" s="551"/>
      <c r="T192" s="551"/>
      <c r="U192" s="551"/>
      <c r="V192" s="551"/>
      <c r="W192" s="551"/>
      <c r="X192" s="551"/>
      <c r="Y192" s="551"/>
      <c r="Z192" s="551"/>
      <c r="AA192" s="551"/>
      <c r="AB192" s="551"/>
      <c r="AC192" s="551"/>
      <c r="AD192" s="551"/>
      <c r="AE192" s="551"/>
      <c r="AF192" s="551"/>
      <c r="AG192" s="551"/>
    </row>
    <row r="193" spans="1:33" x14ac:dyDescent="0.35">
      <c r="A193" s="551"/>
      <c r="B193" s="551"/>
      <c r="C193" s="551"/>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551"/>
      <c r="AA193" s="551"/>
      <c r="AB193" s="551"/>
      <c r="AC193" s="551"/>
      <c r="AD193" s="551"/>
      <c r="AE193" s="551"/>
      <c r="AF193" s="551"/>
      <c r="AG193" s="551"/>
    </row>
    <row r="194" spans="1:33" x14ac:dyDescent="0.35">
      <c r="A194" s="551"/>
      <c r="B194" s="551"/>
      <c r="C194" s="551"/>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551"/>
      <c r="AA194" s="551"/>
      <c r="AB194" s="551"/>
      <c r="AC194" s="551"/>
      <c r="AD194" s="551"/>
      <c r="AE194" s="551"/>
      <c r="AF194" s="551"/>
      <c r="AG194" s="551"/>
    </row>
    <row r="195" spans="1:33" x14ac:dyDescent="0.35">
      <c r="A195" s="551"/>
      <c r="B195" s="551"/>
      <c r="C195" s="551"/>
      <c r="D195" s="551"/>
      <c r="E195" s="551"/>
      <c r="F195" s="551"/>
      <c r="G195" s="551"/>
      <c r="H195" s="551"/>
      <c r="I195" s="551"/>
      <c r="J195" s="551"/>
      <c r="K195" s="551"/>
      <c r="L195" s="551"/>
      <c r="M195" s="551"/>
      <c r="N195" s="551"/>
      <c r="O195" s="551"/>
      <c r="P195" s="551"/>
      <c r="Q195" s="551"/>
      <c r="R195" s="551"/>
      <c r="S195" s="551"/>
      <c r="T195" s="551"/>
      <c r="U195" s="551"/>
      <c r="V195" s="551"/>
      <c r="W195" s="551"/>
      <c r="X195" s="551"/>
      <c r="Y195" s="551"/>
      <c r="Z195" s="551"/>
      <c r="AA195" s="551"/>
      <c r="AB195" s="551"/>
      <c r="AC195" s="551"/>
      <c r="AD195" s="551"/>
      <c r="AE195" s="551"/>
      <c r="AF195" s="551"/>
      <c r="AG195" s="551"/>
    </row>
    <row r="196" spans="1:33" x14ac:dyDescent="0.35">
      <c r="A196" s="551"/>
      <c r="B196" s="551"/>
      <c r="C196" s="551"/>
      <c r="D196" s="551"/>
      <c r="E196" s="551"/>
      <c r="F196" s="551"/>
      <c r="G196" s="551"/>
      <c r="H196" s="551"/>
      <c r="I196" s="551"/>
      <c r="J196" s="551"/>
      <c r="K196" s="551"/>
      <c r="L196" s="551"/>
      <c r="M196" s="551"/>
      <c r="N196" s="551"/>
      <c r="O196" s="551"/>
      <c r="P196" s="551"/>
      <c r="Q196" s="551"/>
      <c r="R196" s="551"/>
      <c r="S196" s="551"/>
      <c r="T196" s="551"/>
      <c r="U196" s="551"/>
      <c r="V196" s="551"/>
      <c r="W196" s="551"/>
      <c r="X196" s="551"/>
      <c r="Y196" s="551"/>
      <c r="Z196" s="551"/>
      <c r="AA196" s="551"/>
      <c r="AB196" s="551"/>
      <c r="AC196" s="551"/>
      <c r="AD196" s="551"/>
      <c r="AE196" s="551"/>
      <c r="AF196" s="551"/>
      <c r="AG196" s="551"/>
    </row>
    <row r="197" spans="1:33" x14ac:dyDescent="0.35">
      <c r="A197" s="551"/>
      <c r="B197" s="551"/>
      <c r="C197" s="551"/>
      <c r="D197" s="551"/>
      <c r="E197" s="551"/>
      <c r="F197" s="551"/>
      <c r="G197" s="551"/>
      <c r="H197" s="551"/>
      <c r="I197" s="551"/>
      <c r="J197" s="551"/>
      <c r="K197" s="551"/>
      <c r="L197" s="551"/>
      <c r="M197" s="551"/>
      <c r="N197" s="551"/>
      <c r="O197" s="551"/>
      <c r="P197" s="551"/>
      <c r="Q197" s="551"/>
      <c r="R197" s="551"/>
      <c r="S197" s="551"/>
      <c r="T197" s="551"/>
      <c r="U197" s="551"/>
      <c r="V197" s="551"/>
      <c r="W197" s="551"/>
      <c r="X197" s="551"/>
      <c r="Y197" s="551"/>
      <c r="Z197" s="551"/>
      <c r="AA197" s="551"/>
      <c r="AB197" s="551"/>
      <c r="AC197" s="551"/>
      <c r="AD197" s="551"/>
      <c r="AE197" s="551"/>
      <c r="AF197" s="551"/>
      <c r="AG197" s="551"/>
    </row>
    <row r="198" spans="1:33" x14ac:dyDescent="0.35">
      <c r="A198" s="551"/>
      <c r="B198" s="551"/>
      <c r="C198" s="551"/>
      <c r="D198" s="551"/>
      <c r="E198" s="551"/>
      <c r="F198" s="551"/>
      <c r="G198" s="551"/>
      <c r="H198" s="551"/>
      <c r="I198" s="551"/>
      <c r="J198" s="551"/>
      <c r="K198" s="551"/>
      <c r="L198" s="551"/>
      <c r="M198" s="551"/>
      <c r="N198" s="551"/>
      <c r="O198" s="551"/>
      <c r="P198" s="551"/>
      <c r="Q198" s="551"/>
      <c r="R198" s="551"/>
      <c r="S198" s="551"/>
      <c r="T198" s="551"/>
      <c r="U198" s="551"/>
      <c r="V198" s="551"/>
      <c r="W198" s="551"/>
      <c r="X198" s="551"/>
      <c r="Y198" s="551"/>
      <c r="Z198" s="551"/>
      <c r="AA198" s="551"/>
      <c r="AB198" s="551"/>
      <c r="AC198" s="551"/>
      <c r="AD198" s="551"/>
      <c r="AE198" s="551"/>
      <c r="AF198" s="551"/>
      <c r="AG198" s="551"/>
    </row>
    <row r="199" spans="1:33" x14ac:dyDescent="0.35">
      <c r="A199" s="551"/>
      <c r="B199" s="551"/>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row>
    <row r="200" spans="1:33" x14ac:dyDescent="0.35">
      <c r="A200" s="551"/>
      <c r="B200" s="551"/>
      <c r="C200" s="551"/>
      <c r="D200" s="551"/>
      <c r="E200" s="551"/>
      <c r="F200" s="551"/>
      <c r="G200" s="551"/>
      <c r="H200" s="551"/>
      <c r="I200" s="551"/>
      <c r="J200" s="551"/>
      <c r="K200" s="551"/>
      <c r="L200" s="551"/>
      <c r="M200" s="551"/>
      <c r="N200" s="551"/>
      <c r="O200" s="551"/>
      <c r="P200" s="551"/>
      <c r="Q200" s="551"/>
      <c r="R200" s="551"/>
      <c r="S200" s="551"/>
      <c r="T200" s="551"/>
      <c r="U200" s="551"/>
      <c r="V200" s="551"/>
      <c r="W200" s="551"/>
      <c r="X200" s="551"/>
      <c r="Y200" s="551"/>
      <c r="Z200" s="551"/>
      <c r="AA200" s="551"/>
      <c r="AB200" s="551"/>
      <c r="AC200" s="551"/>
      <c r="AD200" s="551"/>
      <c r="AE200" s="551"/>
      <c r="AF200" s="551"/>
      <c r="AG200" s="551"/>
    </row>
    <row r="201" spans="1:33" x14ac:dyDescent="0.35">
      <c r="A201" s="551"/>
      <c r="B201" s="551"/>
      <c r="C201" s="551"/>
      <c r="D201" s="551"/>
      <c r="E201" s="551"/>
      <c r="F201" s="551"/>
      <c r="G201" s="551"/>
      <c r="H201" s="551"/>
      <c r="I201" s="551"/>
      <c r="J201" s="551"/>
      <c r="K201" s="551"/>
      <c r="L201" s="551"/>
      <c r="M201" s="551"/>
      <c r="N201" s="551"/>
      <c r="O201" s="551"/>
      <c r="P201" s="551"/>
      <c r="Q201" s="551"/>
      <c r="R201" s="551"/>
      <c r="S201" s="551"/>
      <c r="T201" s="551"/>
      <c r="U201" s="551"/>
      <c r="V201" s="551"/>
      <c r="W201" s="551"/>
      <c r="X201" s="551"/>
      <c r="Y201" s="551"/>
      <c r="Z201" s="551"/>
      <c r="AA201" s="551"/>
      <c r="AB201" s="551"/>
      <c r="AC201" s="551"/>
      <c r="AD201" s="551"/>
      <c r="AE201" s="551"/>
      <c r="AF201" s="551"/>
      <c r="AG201" s="551"/>
    </row>
    <row r="202" spans="1:33" x14ac:dyDescent="0.35">
      <c r="A202" s="551"/>
      <c r="B202" s="551"/>
      <c r="C202" s="551"/>
      <c r="D202" s="551"/>
      <c r="E202" s="551"/>
      <c r="F202" s="551"/>
      <c r="G202" s="551"/>
      <c r="H202" s="551"/>
      <c r="I202" s="551"/>
      <c r="J202" s="551"/>
      <c r="K202" s="551"/>
      <c r="L202" s="551"/>
      <c r="M202" s="551"/>
      <c r="N202" s="551"/>
      <c r="O202" s="551"/>
      <c r="P202" s="551"/>
      <c r="Q202" s="551"/>
      <c r="R202" s="551"/>
      <c r="S202" s="551"/>
      <c r="T202" s="551"/>
      <c r="U202" s="551"/>
      <c r="V202" s="551"/>
      <c r="W202" s="551"/>
      <c r="X202" s="551"/>
      <c r="Y202" s="551"/>
      <c r="Z202" s="551"/>
      <c r="AA202" s="551"/>
      <c r="AB202" s="551"/>
      <c r="AC202" s="551"/>
      <c r="AD202" s="551"/>
      <c r="AE202" s="551"/>
      <c r="AF202" s="551"/>
      <c r="AG202" s="551"/>
    </row>
    <row r="203" spans="1:33" x14ac:dyDescent="0.35">
      <c r="A203" s="551"/>
      <c r="B203" s="551"/>
      <c r="C203" s="551"/>
      <c r="D203" s="551"/>
      <c r="E203" s="551"/>
      <c r="F203" s="551"/>
      <c r="G203" s="551"/>
      <c r="H203" s="551"/>
      <c r="I203" s="551"/>
      <c r="J203" s="551"/>
      <c r="K203" s="551"/>
      <c r="L203" s="551"/>
      <c r="M203" s="551"/>
      <c r="N203" s="551"/>
      <c r="O203" s="551"/>
      <c r="P203" s="551"/>
      <c r="Q203" s="551"/>
      <c r="R203" s="551"/>
      <c r="S203" s="551"/>
      <c r="T203" s="551"/>
      <c r="U203" s="551"/>
      <c r="V203" s="551"/>
      <c r="W203" s="551"/>
      <c r="X203" s="551"/>
      <c r="Y203" s="551"/>
      <c r="Z203" s="551"/>
      <c r="AA203" s="551"/>
      <c r="AB203" s="551"/>
      <c r="AC203" s="551"/>
      <c r="AD203" s="551"/>
      <c r="AE203" s="551"/>
      <c r="AF203" s="551"/>
      <c r="AG203" s="551"/>
    </row>
    <row r="204" spans="1:33" x14ac:dyDescent="0.35">
      <c r="A204" s="551"/>
      <c r="B204" s="551"/>
      <c r="C204" s="551"/>
      <c r="D204" s="551"/>
      <c r="E204" s="551"/>
      <c r="F204" s="551"/>
      <c r="G204" s="551"/>
      <c r="H204" s="551"/>
      <c r="I204" s="551"/>
      <c r="J204" s="551"/>
      <c r="K204" s="551"/>
      <c r="L204" s="551"/>
      <c r="M204" s="551"/>
      <c r="N204" s="551"/>
      <c r="O204" s="551"/>
      <c r="P204" s="551"/>
      <c r="Q204" s="551"/>
      <c r="R204" s="551"/>
      <c r="S204" s="551"/>
      <c r="T204" s="551"/>
      <c r="U204" s="551"/>
      <c r="V204" s="551"/>
      <c r="W204" s="551"/>
      <c r="X204" s="551"/>
      <c r="Y204" s="551"/>
      <c r="Z204" s="551"/>
      <c r="AA204" s="551"/>
      <c r="AB204" s="551"/>
      <c r="AC204" s="551"/>
      <c r="AD204" s="551"/>
      <c r="AE204" s="551"/>
      <c r="AF204" s="551"/>
      <c r="AG204" s="551"/>
    </row>
    <row r="205" spans="1:33" x14ac:dyDescent="0.35">
      <c r="A205" s="551"/>
      <c r="B205" s="551"/>
      <c r="C205" s="551"/>
      <c r="D205" s="551"/>
      <c r="E205" s="551"/>
      <c r="F205" s="551"/>
      <c r="G205" s="551"/>
      <c r="H205" s="551"/>
      <c r="I205" s="551"/>
      <c r="J205" s="551"/>
      <c r="K205" s="551"/>
      <c r="L205" s="551"/>
      <c r="M205" s="551"/>
      <c r="N205" s="551"/>
      <c r="O205" s="551"/>
      <c r="P205" s="551"/>
      <c r="Q205" s="551"/>
      <c r="R205" s="551"/>
      <c r="S205" s="551"/>
      <c r="T205" s="551"/>
      <c r="U205" s="551"/>
      <c r="V205" s="551"/>
      <c r="W205" s="551"/>
      <c r="X205" s="551"/>
      <c r="Y205" s="551"/>
      <c r="Z205" s="551"/>
      <c r="AA205" s="551"/>
      <c r="AB205" s="551"/>
      <c r="AC205" s="551"/>
      <c r="AD205" s="551"/>
      <c r="AE205" s="551"/>
      <c r="AF205" s="551"/>
      <c r="AG205" s="551"/>
    </row>
    <row r="206" spans="1:33" x14ac:dyDescent="0.35">
      <c r="A206" s="551"/>
      <c r="B206" s="551"/>
      <c r="C206" s="551"/>
      <c r="D206" s="551"/>
      <c r="E206" s="551"/>
      <c r="F206" s="551"/>
      <c r="G206" s="551"/>
      <c r="H206" s="551"/>
      <c r="I206" s="551"/>
      <c r="J206" s="551"/>
      <c r="K206" s="551"/>
      <c r="L206" s="551"/>
      <c r="M206" s="551"/>
      <c r="N206" s="551"/>
      <c r="O206" s="551"/>
      <c r="P206" s="551"/>
      <c r="Q206" s="551"/>
      <c r="R206" s="551"/>
      <c r="S206" s="551"/>
      <c r="T206" s="551"/>
      <c r="U206" s="551"/>
      <c r="V206" s="551"/>
      <c r="W206" s="551"/>
      <c r="X206" s="551"/>
      <c r="Y206" s="551"/>
      <c r="Z206" s="551"/>
      <c r="AA206" s="551"/>
      <c r="AB206" s="551"/>
      <c r="AC206" s="551"/>
      <c r="AD206" s="551"/>
      <c r="AE206" s="551"/>
      <c r="AF206" s="551"/>
      <c r="AG206" s="551"/>
    </row>
    <row r="207" spans="1:33" x14ac:dyDescent="0.35">
      <c r="A207" s="551"/>
      <c r="B207" s="551"/>
      <c r="C207" s="551"/>
      <c r="D207" s="551"/>
      <c r="E207" s="551"/>
      <c r="F207" s="551"/>
      <c r="G207" s="551"/>
      <c r="H207" s="551"/>
      <c r="I207" s="551"/>
      <c r="J207" s="551"/>
      <c r="K207" s="551"/>
      <c r="L207" s="551"/>
      <c r="M207" s="551"/>
      <c r="N207" s="551"/>
      <c r="O207" s="551"/>
      <c r="P207" s="551"/>
      <c r="Q207" s="551"/>
      <c r="R207" s="551"/>
      <c r="S207" s="551"/>
      <c r="T207" s="551"/>
      <c r="U207" s="551"/>
      <c r="V207" s="551"/>
      <c r="W207" s="551"/>
      <c r="X207" s="551"/>
      <c r="Y207" s="551"/>
      <c r="Z207" s="551"/>
      <c r="AA207" s="551"/>
      <c r="AB207" s="551"/>
      <c r="AC207" s="551"/>
      <c r="AD207" s="551"/>
      <c r="AE207" s="551"/>
      <c r="AF207" s="551"/>
      <c r="AG207" s="551"/>
    </row>
    <row r="208" spans="1:33" x14ac:dyDescent="0.35">
      <c r="A208" s="551"/>
      <c r="B208" s="551"/>
      <c r="C208" s="551"/>
      <c r="D208" s="551"/>
      <c r="E208" s="551"/>
      <c r="F208" s="551"/>
      <c r="G208" s="551"/>
      <c r="H208" s="551"/>
      <c r="I208" s="551"/>
      <c r="J208" s="551"/>
      <c r="K208" s="551"/>
      <c r="L208" s="551"/>
      <c r="M208" s="551"/>
      <c r="N208" s="551"/>
      <c r="O208" s="551"/>
      <c r="P208" s="551"/>
      <c r="Q208" s="551"/>
      <c r="R208" s="551"/>
      <c r="S208" s="551"/>
      <c r="T208" s="551"/>
      <c r="U208" s="551"/>
      <c r="V208" s="551"/>
      <c r="W208" s="551"/>
      <c r="X208" s="551"/>
      <c r="Y208" s="551"/>
      <c r="Z208" s="551"/>
      <c r="AA208" s="551"/>
      <c r="AB208" s="551"/>
      <c r="AC208" s="551"/>
      <c r="AD208" s="551"/>
      <c r="AE208" s="551"/>
      <c r="AF208" s="551"/>
      <c r="AG208" s="551"/>
    </row>
    <row r="209" spans="1:33" x14ac:dyDescent="0.35">
      <c r="A209" s="551"/>
      <c r="B209" s="551"/>
      <c r="C209" s="551"/>
      <c r="D209" s="551"/>
      <c r="E209" s="551"/>
      <c r="F209" s="551"/>
      <c r="G209" s="551"/>
      <c r="H209" s="551"/>
      <c r="I209" s="551"/>
      <c r="J209" s="551"/>
      <c r="K209" s="551"/>
      <c r="L209" s="551"/>
      <c r="M209" s="551"/>
      <c r="N209" s="551"/>
      <c r="O209" s="551"/>
      <c r="P209" s="551"/>
      <c r="Q209" s="551"/>
      <c r="R209" s="551"/>
      <c r="S209" s="551"/>
      <c r="T209" s="551"/>
      <c r="U209" s="551"/>
      <c r="V209" s="551"/>
      <c r="W209" s="551"/>
      <c r="X209" s="551"/>
      <c r="Y209" s="551"/>
      <c r="Z209" s="551"/>
      <c r="AA209" s="551"/>
      <c r="AB209" s="551"/>
      <c r="AC209" s="551"/>
      <c r="AD209" s="551"/>
      <c r="AE209" s="551"/>
      <c r="AF209" s="551"/>
      <c r="AG209" s="551"/>
    </row>
    <row r="210" spans="1:33" x14ac:dyDescent="0.35">
      <c r="A210" s="551"/>
      <c r="B210" s="551"/>
      <c r="C210" s="551"/>
      <c r="D210" s="551"/>
      <c r="E210" s="551"/>
      <c r="F210" s="551"/>
      <c r="G210" s="551"/>
      <c r="H210" s="551"/>
      <c r="I210" s="551"/>
      <c r="J210" s="551"/>
      <c r="K210" s="551"/>
      <c r="L210" s="551"/>
      <c r="M210" s="551"/>
      <c r="N210" s="551"/>
      <c r="O210" s="551"/>
      <c r="P210" s="551"/>
      <c r="Q210" s="551"/>
      <c r="R210" s="551"/>
      <c r="S210" s="551"/>
      <c r="T210" s="551"/>
      <c r="U210" s="551"/>
      <c r="V210" s="551"/>
      <c r="W210" s="551"/>
      <c r="X210" s="551"/>
      <c r="Y210" s="551"/>
      <c r="Z210" s="551"/>
      <c r="AA210" s="551"/>
      <c r="AB210" s="551"/>
      <c r="AC210" s="551"/>
      <c r="AD210" s="551"/>
      <c r="AE210" s="551"/>
      <c r="AF210" s="551"/>
      <c r="AG210" s="551"/>
    </row>
    <row r="211" spans="1:33" x14ac:dyDescent="0.35">
      <c r="A211" s="551"/>
      <c r="B211" s="551"/>
      <c r="C211" s="551"/>
      <c r="D211" s="551"/>
      <c r="E211" s="551"/>
      <c r="F211" s="551"/>
      <c r="G211" s="551"/>
      <c r="H211" s="551"/>
      <c r="I211" s="551"/>
      <c r="J211" s="551"/>
      <c r="K211" s="551"/>
      <c r="L211" s="551"/>
      <c r="M211" s="551"/>
      <c r="N211" s="551"/>
      <c r="O211" s="551"/>
      <c r="P211" s="551"/>
      <c r="Q211" s="551"/>
      <c r="R211" s="551"/>
      <c r="S211" s="551"/>
      <c r="T211" s="551"/>
      <c r="U211" s="551"/>
      <c r="V211" s="551"/>
      <c r="W211" s="551"/>
      <c r="X211" s="551"/>
      <c r="Y211" s="551"/>
      <c r="Z211" s="551"/>
      <c r="AA211" s="551"/>
      <c r="AB211" s="551"/>
      <c r="AC211" s="551"/>
      <c r="AD211" s="551"/>
      <c r="AE211" s="551"/>
      <c r="AF211" s="551"/>
      <c r="AG211" s="551"/>
    </row>
    <row r="212" spans="1:33" x14ac:dyDescent="0.35">
      <c r="A212" s="551"/>
      <c r="B212" s="551"/>
      <c r="C212" s="551"/>
      <c r="D212" s="551"/>
      <c r="E212" s="551"/>
      <c r="F212" s="551"/>
      <c r="G212" s="551"/>
      <c r="H212" s="551"/>
      <c r="I212" s="551"/>
      <c r="J212" s="551"/>
      <c r="K212" s="551"/>
      <c r="L212" s="551"/>
      <c r="M212" s="551"/>
      <c r="N212" s="551"/>
      <c r="O212" s="551"/>
      <c r="P212" s="551"/>
      <c r="Q212" s="551"/>
      <c r="R212" s="551"/>
      <c r="S212" s="551"/>
      <c r="T212" s="551"/>
      <c r="U212" s="551"/>
      <c r="V212" s="551"/>
      <c r="W212" s="551"/>
      <c r="X212" s="551"/>
      <c r="Y212" s="551"/>
      <c r="Z212" s="551"/>
      <c r="AA212" s="551"/>
      <c r="AB212" s="551"/>
      <c r="AC212" s="551"/>
      <c r="AD212" s="551"/>
      <c r="AE212" s="551"/>
      <c r="AF212" s="551"/>
      <c r="AG212" s="551"/>
    </row>
    <row r="213" spans="1:33" x14ac:dyDescent="0.35">
      <c r="A213" s="551"/>
      <c r="B213" s="551"/>
      <c r="C213" s="551"/>
      <c r="D213" s="551"/>
      <c r="E213" s="551"/>
      <c r="F213" s="551"/>
      <c r="G213" s="551"/>
      <c r="H213" s="551"/>
      <c r="I213" s="551"/>
      <c r="J213" s="551"/>
      <c r="K213" s="551"/>
      <c r="L213" s="551"/>
      <c r="M213" s="551"/>
      <c r="N213" s="551"/>
      <c r="O213" s="551"/>
      <c r="P213" s="551"/>
      <c r="Q213" s="551"/>
      <c r="R213" s="551"/>
      <c r="S213" s="551"/>
      <c r="T213" s="551"/>
      <c r="U213" s="551"/>
      <c r="V213" s="551"/>
      <c r="W213" s="551"/>
      <c r="X213" s="551"/>
      <c r="Y213" s="551"/>
      <c r="Z213" s="551"/>
      <c r="AA213" s="551"/>
      <c r="AB213" s="551"/>
      <c r="AC213" s="551"/>
      <c r="AD213" s="551"/>
      <c r="AE213" s="551"/>
      <c r="AF213" s="551"/>
      <c r="AG213" s="551"/>
    </row>
    <row r="214" spans="1:33" x14ac:dyDescent="0.35">
      <c r="A214" s="551"/>
      <c r="B214" s="551"/>
      <c r="C214" s="551"/>
      <c r="D214" s="551"/>
      <c r="E214" s="551"/>
      <c r="F214" s="551"/>
      <c r="G214" s="551"/>
      <c r="H214" s="551"/>
      <c r="I214" s="551"/>
      <c r="J214" s="551"/>
      <c r="K214" s="551"/>
      <c r="L214" s="551"/>
      <c r="M214" s="551"/>
      <c r="N214" s="551"/>
      <c r="O214" s="551"/>
      <c r="P214" s="551"/>
      <c r="Q214" s="551"/>
      <c r="R214" s="551"/>
      <c r="S214" s="551"/>
      <c r="T214" s="551"/>
      <c r="U214" s="551"/>
      <c r="V214" s="551"/>
      <c r="W214" s="551"/>
      <c r="X214" s="551"/>
      <c r="Y214" s="551"/>
      <c r="Z214" s="551"/>
      <c r="AA214" s="551"/>
      <c r="AB214" s="551"/>
      <c r="AC214" s="551"/>
      <c r="AD214" s="551"/>
      <c r="AE214" s="551"/>
      <c r="AF214" s="551"/>
      <c r="AG214" s="551"/>
    </row>
    <row r="215" spans="1:33" x14ac:dyDescent="0.35">
      <c r="A215" s="551"/>
      <c r="B215" s="551"/>
      <c r="C215" s="551"/>
      <c r="D215" s="551"/>
      <c r="E215" s="551"/>
      <c r="F215" s="551"/>
      <c r="G215" s="551"/>
      <c r="H215" s="551"/>
      <c r="I215" s="551"/>
      <c r="J215" s="551"/>
      <c r="K215" s="551"/>
      <c r="L215" s="551"/>
      <c r="M215" s="551"/>
      <c r="N215" s="551"/>
      <c r="O215" s="551"/>
      <c r="P215" s="551"/>
      <c r="Q215" s="551"/>
      <c r="R215" s="551"/>
      <c r="S215" s="551"/>
      <c r="T215" s="551"/>
      <c r="U215" s="551"/>
      <c r="V215" s="551"/>
      <c r="W215" s="551"/>
      <c r="X215" s="551"/>
      <c r="Y215" s="551"/>
      <c r="Z215" s="551"/>
      <c r="AA215" s="551"/>
      <c r="AB215" s="551"/>
      <c r="AC215" s="551"/>
      <c r="AD215" s="551"/>
      <c r="AE215" s="551"/>
      <c r="AF215" s="551"/>
      <c r="AG215" s="551"/>
    </row>
    <row r="216" spans="1:33" x14ac:dyDescent="0.35">
      <c r="A216" s="551"/>
      <c r="B216" s="551"/>
      <c r="C216" s="551"/>
      <c r="D216" s="551"/>
      <c r="E216" s="551"/>
      <c r="F216" s="551"/>
      <c r="G216" s="551"/>
      <c r="H216" s="551"/>
      <c r="I216" s="551"/>
      <c r="J216" s="551"/>
      <c r="K216" s="551"/>
      <c r="L216" s="551"/>
      <c r="M216" s="551"/>
      <c r="N216" s="551"/>
      <c r="O216" s="551"/>
      <c r="P216" s="551"/>
      <c r="Q216" s="551"/>
      <c r="R216" s="551"/>
      <c r="S216" s="551"/>
      <c r="T216" s="551"/>
      <c r="U216" s="551"/>
      <c r="V216" s="551"/>
      <c r="W216" s="551"/>
      <c r="X216" s="551"/>
      <c r="Y216" s="551"/>
      <c r="Z216" s="551"/>
      <c r="AA216" s="551"/>
      <c r="AB216" s="551"/>
      <c r="AC216" s="551"/>
      <c r="AD216" s="551"/>
      <c r="AE216" s="551"/>
      <c r="AF216" s="551"/>
      <c r="AG216" s="551"/>
    </row>
    <row r="217" spans="1:33" x14ac:dyDescent="0.35">
      <c r="A217" s="551"/>
      <c r="B217" s="551"/>
      <c r="C217" s="551"/>
      <c r="D217" s="551"/>
      <c r="E217" s="551"/>
      <c r="F217" s="551"/>
      <c r="G217" s="551"/>
      <c r="H217" s="551"/>
      <c r="I217" s="551"/>
      <c r="J217" s="551"/>
      <c r="K217" s="551"/>
      <c r="L217" s="551"/>
      <c r="M217" s="551"/>
      <c r="N217" s="551"/>
      <c r="O217" s="551"/>
      <c r="P217" s="551"/>
      <c r="Q217" s="551"/>
      <c r="R217" s="551"/>
      <c r="S217" s="551"/>
      <c r="T217" s="551"/>
      <c r="U217" s="551"/>
      <c r="V217" s="551"/>
      <c r="W217" s="551"/>
      <c r="X217" s="551"/>
      <c r="Y217" s="551"/>
      <c r="Z217" s="551"/>
      <c r="AA217" s="551"/>
      <c r="AB217" s="551"/>
      <c r="AC217" s="551"/>
      <c r="AD217" s="551"/>
      <c r="AE217" s="551"/>
      <c r="AF217" s="551"/>
      <c r="AG217" s="551"/>
    </row>
    <row r="218" spans="1:33" x14ac:dyDescent="0.35">
      <c r="A218" s="551"/>
      <c r="B218" s="551"/>
      <c r="C218" s="551"/>
      <c r="D218" s="551"/>
      <c r="E218" s="551"/>
      <c r="F218" s="551"/>
      <c r="G218" s="551"/>
      <c r="H218" s="551"/>
      <c r="I218" s="551"/>
      <c r="J218" s="551"/>
      <c r="K218" s="551"/>
      <c r="L218" s="551"/>
      <c r="M218" s="551"/>
      <c r="N218" s="551"/>
      <c r="O218" s="551"/>
      <c r="P218" s="551"/>
      <c r="Q218" s="551"/>
      <c r="R218" s="551"/>
      <c r="S218" s="551"/>
      <c r="T218" s="551"/>
      <c r="U218" s="551"/>
      <c r="V218" s="551"/>
      <c r="W218" s="551"/>
      <c r="X218" s="551"/>
      <c r="Y218" s="551"/>
      <c r="Z218" s="551"/>
      <c r="AA218" s="551"/>
      <c r="AB218" s="551"/>
      <c r="AC218" s="551"/>
      <c r="AD218" s="551"/>
      <c r="AE218" s="551"/>
      <c r="AF218" s="551"/>
      <c r="AG218" s="551"/>
    </row>
    <row r="219" spans="1:33" x14ac:dyDescent="0.35">
      <c r="A219" s="551"/>
      <c r="B219" s="551"/>
      <c r="C219" s="551"/>
      <c r="D219" s="551"/>
      <c r="E219" s="551"/>
      <c r="F219" s="551"/>
      <c r="G219" s="551"/>
      <c r="H219" s="551"/>
      <c r="I219" s="551"/>
      <c r="J219" s="551"/>
      <c r="K219" s="551"/>
      <c r="L219" s="551"/>
      <c r="M219" s="551"/>
      <c r="N219" s="551"/>
      <c r="O219" s="551"/>
      <c r="P219" s="551"/>
      <c r="Q219" s="551"/>
      <c r="R219" s="551"/>
      <c r="S219" s="551"/>
      <c r="T219" s="551"/>
      <c r="U219" s="551"/>
      <c r="V219" s="551"/>
      <c r="W219" s="551"/>
      <c r="X219" s="551"/>
      <c r="Y219" s="551"/>
      <c r="Z219" s="551"/>
      <c r="AA219" s="551"/>
      <c r="AB219" s="551"/>
      <c r="AC219" s="551"/>
      <c r="AD219" s="551"/>
      <c r="AE219" s="551"/>
      <c r="AF219" s="551"/>
      <c r="AG219" s="551"/>
    </row>
    <row r="220" spans="1:33" x14ac:dyDescent="0.35">
      <c r="A220" s="551"/>
      <c r="B220" s="551"/>
      <c r="C220" s="551"/>
      <c r="D220" s="551"/>
      <c r="E220" s="551"/>
      <c r="F220" s="551"/>
      <c r="G220" s="551"/>
      <c r="H220" s="551"/>
      <c r="I220" s="551"/>
      <c r="J220" s="551"/>
      <c r="K220" s="551"/>
      <c r="L220" s="551"/>
      <c r="M220" s="551"/>
      <c r="N220" s="551"/>
      <c r="O220" s="551"/>
      <c r="P220" s="551"/>
      <c r="Q220" s="551"/>
      <c r="R220" s="551"/>
      <c r="S220" s="551"/>
      <c r="T220" s="551"/>
      <c r="U220" s="551"/>
      <c r="V220" s="551"/>
      <c r="W220" s="551"/>
      <c r="X220" s="551"/>
      <c r="Y220" s="551"/>
      <c r="Z220" s="551"/>
      <c r="AA220" s="551"/>
      <c r="AB220" s="551"/>
      <c r="AC220" s="551"/>
      <c r="AD220" s="551"/>
      <c r="AE220" s="551"/>
      <c r="AF220" s="551"/>
      <c r="AG220" s="551"/>
    </row>
    <row r="221" spans="1:33" x14ac:dyDescent="0.35">
      <c r="A221" s="551"/>
      <c r="B221" s="551"/>
      <c r="C221" s="551"/>
      <c r="D221" s="551"/>
      <c r="E221" s="551"/>
      <c r="F221" s="551"/>
      <c r="G221" s="551"/>
      <c r="H221" s="551"/>
      <c r="I221" s="551"/>
      <c r="J221" s="551"/>
      <c r="K221" s="551"/>
      <c r="L221" s="551"/>
      <c r="M221" s="551"/>
      <c r="N221" s="551"/>
      <c r="O221" s="551"/>
      <c r="P221" s="551"/>
      <c r="Q221" s="551"/>
      <c r="R221" s="551"/>
      <c r="S221" s="551"/>
      <c r="T221" s="551"/>
      <c r="U221" s="551"/>
      <c r="V221" s="551"/>
      <c r="W221" s="551"/>
      <c r="X221" s="551"/>
      <c r="Y221" s="551"/>
      <c r="Z221" s="551"/>
      <c r="AA221" s="551"/>
      <c r="AB221" s="551"/>
      <c r="AC221" s="551"/>
      <c r="AD221" s="551"/>
      <c r="AE221" s="551"/>
      <c r="AF221" s="551"/>
      <c r="AG221" s="551"/>
    </row>
    <row r="222" spans="1:33" x14ac:dyDescent="0.35">
      <c r="A222" s="551"/>
      <c r="B222" s="551"/>
      <c r="C222" s="551"/>
      <c r="D222" s="551"/>
      <c r="E222" s="551"/>
      <c r="F222" s="551"/>
      <c r="G222" s="551"/>
      <c r="H222" s="551"/>
      <c r="I222" s="551"/>
      <c r="J222" s="551"/>
      <c r="K222" s="551"/>
      <c r="L222" s="551"/>
      <c r="M222" s="551"/>
      <c r="N222" s="551"/>
      <c r="O222" s="551"/>
      <c r="P222" s="551"/>
      <c r="Q222" s="551"/>
      <c r="R222" s="551"/>
      <c r="S222" s="551"/>
      <c r="T222" s="551"/>
      <c r="U222" s="551"/>
      <c r="V222" s="551"/>
      <c r="W222" s="551"/>
      <c r="X222" s="551"/>
      <c r="Y222" s="551"/>
      <c r="Z222" s="551"/>
      <c r="AA222" s="551"/>
      <c r="AB222" s="551"/>
      <c r="AC222" s="551"/>
      <c r="AD222" s="551"/>
      <c r="AE222" s="551"/>
      <c r="AF222" s="551"/>
      <c r="AG222" s="551"/>
    </row>
    <row r="223" spans="1:33" x14ac:dyDescent="0.35">
      <c r="A223" s="551"/>
      <c r="B223" s="551"/>
      <c r="C223" s="551"/>
      <c r="D223" s="551"/>
      <c r="E223" s="551"/>
      <c r="F223" s="551"/>
      <c r="G223" s="551"/>
      <c r="H223" s="551"/>
      <c r="I223" s="551"/>
      <c r="J223" s="551"/>
      <c r="K223" s="551"/>
      <c r="L223" s="551"/>
      <c r="M223" s="551"/>
      <c r="N223" s="551"/>
      <c r="O223" s="551"/>
      <c r="P223" s="551"/>
      <c r="Q223" s="551"/>
      <c r="R223" s="551"/>
      <c r="S223" s="551"/>
      <c r="T223" s="551"/>
      <c r="U223" s="551"/>
      <c r="V223" s="551"/>
      <c r="W223" s="551"/>
      <c r="X223" s="551"/>
      <c r="Y223" s="551"/>
      <c r="Z223" s="551"/>
      <c r="AA223" s="551"/>
      <c r="AB223" s="551"/>
      <c r="AC223" s="551"/>
      <c r="AD223" s="551"/>
      <c r="AE223" s="551"/>
      <c r="AF223" s="551"/>
      <c r="AG223" s="551"/>
    </row>
    <row r="224" spans="1:33" x14ac:dyDescent="0.35">
      <c r="A224" s="551"/>
      <c r="B224" s="551"/>
      <c r="C224" s="551"/>
      <c r="D224" s="551"/>
      <c r="E224" s="551"/>
      <c r="F224" s="551"/>
      <c r="G224" s="551"/>
      <c r="H224" s="551"/>
      <c r="I224" s="551"/>
      <c r="J224" s="551"/>
      <c r="K224" s="551"/>
      <c r="L224" s="551"/>
      <c r="M224" s="551"/>
      <c r="N224" s="551"/>
      <c r="O224" s="551"/>
      <c r="P224" s="551"/>
      <c r="Q224" s="551"/>
      <c r="R224" s="551"/>
      <c r="S224" s="551"/>
      <c r="T224" s="551"/>
      <c r="U224" s="551"/>
      <c r="V224" s="551"/>
      <c r="W224" s="551"/>
      <c r="X224" s="551"/>
      <c r="Y224" s="551"/>
      <c r="Z224" s="551"/>
      <c r="AA224" s="551"/>
      <c r="AB224" s="551"/>
      <c r="AC224" s="551"/>
      <c r="AD224" s="551"/>
      <c r="AE224" s="551"/>
      <c r="AF224" s="551"/>
      <c r="AG224" s="551"/>
    </row>
    <row r="225" spans="1:33" x14ac:dyDescent="0.35">
      <c r="A225" s="551"/>
      <c r="B225" s="551"/>
      <c r="C225" s="551"/>
      <c r="D225" s="551"/>
      <c r="E225" s="551"/>
      <c r="F225" s="551"/>
      <c r="G225" s="551"/>
      <c r="H225" s="551"/>
      <c r="I225" s="551"/>
      <c r="J225" s="551"/>
      <c r="K225" s="551"/>
      <c r="L225" s="551"/>
      <c r="M225" s="551"/>
      <c r="N225" s="551"/>
      <c r="O225" s="551"/>
      <c r="P225" s="551"/>
      <c r="Q225" s="551"/>
      <c r="R225" s="551"/>
      <c r="S225" s="551"/>
      <c r="T225" s="551"/>
      <c r="U225" s="551"/>
      <c r="V225" s="551"/>
      <c r="W225" s="551"/>
      <c r="X225" s="551"/>
      <c r="Y225" s="551"/>
      <c r="Z225" s="551"/>
      <c r="AA225" s="551"/>
      <c r="AB225" s="551"/>
      <c r="AC225" s="551"/>
      <c r="AD225" s="551"/>
      <c r="AE225" s="551"/>
      <c r="AF225" s="551"/>
      <c r="AG225" s="551"/>
    </row>
    <row r="226" spans="1:33" x14ac:dyDescent="0.35">
      <c r="A226" s="551"/>
      <c r="B226" s="551"/>
      <c r="C226" s="551"/>
      <c r="D226" s="551"/>
      <c r="E226" s="551"/>
      <c r="F226" s="551"/>
      <c r="G226" s="551"/>
      <c r="H226" s="551"/>
      <c r="I226" s="551"/>
      <c r="J226" s="551"/>
      <c r="K226" s="551"/>
      <c r="L226" s="551"/>
      <c r="M226" s="551"/>
      <c r="N226" s="551"/>
      <c r="O226" s="551"/>
      <c r="P226" s="551"/>
      <c r="Q226" s="551"/>
      <c r="R226" s="551"/>
      <c r="S226" s="551"/>
      <c r="T226" s="551"/>
      <c r="U226" s="551"/>
      <c r="V226" s="551"/>
      <c r="W226" s="551"/>
      <c r="X226" s="551"/>
      <c r="Y226" s="551"/>
      <c r="Z226" s="551"/>
      <c r="AA226" s="551"/>
      <c r="AB226" s="551"/>
      <c r="AC226" s="551"/>
      <c r="AD226" s="551"/>
      <c r="AE226" s="551"/>
      <c r="AF226" s="551"/>
      <c r="AG226" s="551"/>
    </row>
    <row r="227" spans="1:33" x14ac:dyDescent="0.35">
      <c r="A227" s="551"/>
      <c r="B227" s="551"/>
      <c r="C227" s="551"/>
      <c r="D227" s="551"/>
      <c r="E227" s="551"/>
      <c r="F227" s="551"/>
      <c r="G227" s="551"/>
      <c r="H227" s="551"/>
      <c r="I227" s="551"/>
      <c r="J227" s="551"/>
      <c r="K227" s="551"/>
      <c r="L227" s="551"/>
      <c r="M227" s="551"/>
      <c r="N227" s="551"/>
      <c r="O227" s="551"/>
      <c r="P227" s="551"/>
      <c r="Q227" s="551"/>
      <c r="R227" s="551"/>
      <c r="S227" s="551"/>
      <c r="T227" s="551"/>
      <c r="U227" s="551"/>
      <c r="V227" s="551"/>
      <c r="W227" s="551"/>
      <c r="X227" s="551"/>
      <c r="Y227" s="551"/>
      <c r="Z227" s="551"/>
      <c r="AA227" s="551"/>
      <c r="AB227" s="551"/>
      <c r="AC227" s="551"/>
      <c r="AD227" s="551"/>
      <c r="AE227" s="551"/>
      <c r="AF227" s="551"/>
      <c r="AG227" s="551"/>
    </row>
    <row r="228" spans="1:33" x14ac:dyDescent="0.35">
      <c r="A228" s="551"/>
      <c r="B228" s="551"/>
      <c r="C228" s="551"/>
      <c r="D228" s="551"/>
      <c r="E228" s="551"/>
      <c r="F228" s="551"/>
      <c r="G228" s="551"/>
      <c r="H228" s="551"/>
      <c r="I228" s="551"/>
      <c r="J228" s="551"/>
      <c r="K228" s="551"/>
      <c r="L228" s="551"/>
      <c r="M228" s="551"/>
      <c r="N228" s="551"/>
      <c r="O228" s="551"/>
      <c r="P228" s="551"/>
      <c r="Q228" s="551"/>
      <c r="R228" s="551"/>
      <c r="S228" s="551"/>
      <c r="T228" s="551"/>
      <c r="U228" s="551"/>
      <c r="V228" s="551"/>
      <c r="W228" s="551"/>
      <c r="X228" s="551"/>
      <c r="Y228" s="551"/>
      <c r="Z228" s="551"/>
      <c r="AA228" s="551"/>
      <c r="AB228" s="551"/>
      <c r="AC228" s="551"/>
      <c r="AD228" s="551"/>
      <c r="AE228" s="551"/>
      <c r="AF228" s="551"/>
      <c r="AG228" s="551"/>
    </row>
    <row r="229" spans="1:33" x14ac:dyDescent="0.35">
      <c r="A229" s="551"/>
      <c r="B229" s="551"/>
      <c r="C229" s="551"/>
      <c r="D229" s="551"/>
      <c r="E229" s="551"/>
      <c r="F229" s="551"/>
      <c r="G229" s="551"/>
      <c r="H229" s="551"/>
      <c r="I229" s="551"/>
      <c r="J229" s="551"/>
      <c r="K229" s="551"/>
      <c r="L229" s="551"/>
      <c r="M229" s="551"/>
      <c r="N229" s="551"/>
      <c r="O229" s="551"/>
      <c r="P229" s="551"/>
      <c r="Q229" s="551"/>
      <c r="R229" s="551"/>
      <c r="S229" s="551"/>
      <c r="T229" s="551"/>
      <c r="U229" s="551"/>
      <c r="V229" s="551"/>
      <c r="W229" s="551"/>
      <c r="X229" s="551"/>
      <c r="Y229" s="551"/>
      <c r="Z229" s="551"/>
      <c r="AA229" s="551"/>
      <c r="AB229" s="551"/>
      <c r="AC229" s="551"/>
      <c r="AD229" s="551"/>
      <c r="AE229" s="551"/>
      <c r="AF229" s="551"/>
      <c r="AG229" s="551"/>
    </row>
    <row r="230" spans="1:33" x14ac:dyDescent="0.35">
      <c r="A230" s="551"/>
      <c r="B230" s="551"/>
      <c r="C230" s="551"/>
      <c r="D230" s="551"/>
      <c r="E230" s="551"/>
      <c r="F230" s="551"/>
      <c r="G230" s="551"/>
      <c r="H230" s="551"/>
      <c r="I230" s="551"/>
      <c r="J230" s="551"/>
      <c r="K230" s="551"/>
      <c r="L230" s="551"/>
      <c r="M230" s="551"/>
      <c r="N230" s="551"/>
      <c r="O230" s="551"/>
      <c r="P230" s="551"/>
      <c r="Q230" s="551"/>
      <c r="R230" s="551"/>
      <c r="S230" s="551"/>
      <c r="T230" s="551"/>
      <c r="U230" s="551"/>
      <c r="V230" s="551"/>
      <c r="W230" s="551"/>
      <c r="X230" s="551"/>
      <c r="Y230" s="551"/>
      <c r="Z230" s="551"/>
      <c r="AA230" s="551"/>
      <c r="AB230" s="551"/>
      <c r="AC230" s="551"/>
      <c r="AD230" s="551"/>
      <c r="AE230" s="551"/>
      <c r="AF230" s="551"/>
      <c r="AG230" s="551"/>
    </row>
    <row r="231" spans="1:33" x14ac:dyDescent="0.35">
      <c r="A231" s="551"/>
      <c r="B231" s="551"/>
      <c r="C231" s="551"/>
      <c r="D231" s="551"/>
      <c r="E231" s="551"/>
      <c r="F231" s="551"/>
      <c r="G231" s="551"/>
      <c r="H231" s="551"/>
      <c r="I231" s="551"/>
      <c r="J231" s="551"/>
      <c r="K231" s="551"/>
      <c r="L231" s="551"/>
      <c r="M231" s="551"/>
      <c r="N231" s="551"/>
      <c r="O231" s="551"/>
      <c r="P231" s="551"/>
      <c r="Q231" s="551"/>
      <c r="R231" s="551"/>
      <c r="S231" s="551"/>
      <c r="T231" s="551"/>
      <c r="U231" s="551"/>
      <c r="V231" s="551"/>
      <c r="W231" s="551"/>
      <c r="X231" s="551"/>
      <c r="Y231" s="551"/>
      <c r="Z231" s="551"/>
      <c r="AA231" s="551"/>
      <c r="AB231" s="551"/>
      <c r="AC231" s="551"/>
      <c r="AD231" s="551"/>
      <c r="AE231" s="551"/>
      <c r="AF231" s="551"/>
      <c r="AG231" s="551"/>
    </row>
    <row r="232" spans="1:33" x14ac:dyDescent="0.35">
      <c r="A232" s="551"/>
      <c r="B232" s="551"/>
      <c r="C232" s="551"/>
      <c r="D232" s="551"/>
      <c r="E232" s="551"/>
      <c r="F232" s="551"/>
      <c r="G232" s="551"/>
      <c r="H232" s="551"/>
      <c r="I232" s="551"/>
      <c r="J232" s="551"/>
      <c r="K232" s="551"/>
      <c r="L232" s="551"/>
      <c r="M232" s="551"/>
      <c r="N232" s="551"/>
      <c r="O232" s="551"/>
      <c r="P232" s="551"/>
      <c r="Q232" s="551"/>
      <c r="R232" s="551"/>
      <c r="S232" s="551"/>
      <c r="T232" s="551"/>
      <c r="U232" s="551"/>
      <c r="V232" s="551"/>
      <c r="W232" s="551"/>
      <c r="X232" s="551"/>
      <c r="Y232" s="551"/>
      <c r="Z232" s="551"/>
      <c r="AA232" s="551"/>
      <c r="AB232" s="551"/>
      <c r="AC232" s="551"/>
      <c r="AD232" s="551"/>
      <c r="AE232" s="551"/>
      <c r="AF232" s="551"/>
      <c r="AG232" s="551"/>
    </row>
    <row r="233" spans="1:33" x14ac:dyDescent="0.35">
      <c r="A233" s="551"/>
      <c r="B233" s="551"/>
      <c r="C233" s="551"/>
      <c r="D233" s="551"/>
      <c r="E233" s="551"/>
      <c r="F233" s="551"/>
      <c r="G233" s="551"/>
      <c r="H233" s="551"/>
      <c r="I233" s="551"/>
      <c r="J233" s="551"/>
      <c r="K233" s="551"/>
      <c r="L233" s="551"/>
      <c r="M233" s="551"/>
      <c r="N233" s="551"/>
      <c r="O233" s="551"/>
      <c r="P233" s="551"/>
      <c r="Q233" s="551"/>
      <c r="R233" s="551"/>
      <c r="S233" s="551"/>
      <c r="T233" s="551"/>
      <c r="U233" s="551"/>
      <c r="V233" s="551"/>
      <c r="W233" s="551"/>
      <c r="X233" s="551"/>
      <c r="Y233" s="551"/>
      <c r="Z233" s="551"/>
      <c r="AA233" s="551"/>
      <c r="AB233" s="551"/>
      <c r="AC233" s="551"/>
      <c r="AD233" s="551"/>
      <c r="AE233" s="551"/>
      <c r="AF233" s="551"/>
      <c r="AG233" s="551"/>
    </row>
    <row r="234" spans="1:33" x14ac:dyDescent="0.35">
      <c r="A234" s="551"/>
      <c r="B234" s="551"/>
      <c r="C234" s="551"/>
      <c r="D234" s="551"/>
      <c r="E234" s="551"/>
      <c r="F234" s="551"/>
      <c r="G234" s="551"/>
      <c r="H234" s="551"/>
      <c r="I234" s="551"/>
      <c r="J234" s="551"/>
      <c r="K234" s="551"/>
      <c r="L234" s="551"/>
      <c r="M234" s="551"/>
      <c r="N234" s="551"/>
      <c r="O234" s="551"/>
      <c r="P234" s="551"/>
      <c r="Q234" s="551"/>
      <c r="R234" s="551"/>
      <c r="S234" s="551"/>
      <c r="T234" s="551"/>
      <c r="U234" s="551"/>
      <c r="V234" s="551"/>
      <c r="W234" s="551"/>
      <c r="X234" s="551"/>
      <c r="Y234" s="551"/>
      <c r="Z234" s="551"/>
      <c r="AA234" s="551"/>
      <c r="AB234" s="551"/>
      <c r="AC234" s="551"/>
      <c r="AD234" s="551"/>
      <c r="AE234" s="551"/>
      <c r="AF234" s="551"/>
      <c r="AG234" s="551"/>
    </row>
    <row r="235" spans="1:33" x14ac:dyDescent="0.35">
      <c r="A235" s="551"/>
      <c r="B235" s="551"/>
      <c r="C235" s="551"/>
      <c r="D235" s="551"/>
      <c r="E235" s="551"/>
      <c r="F235" s="551"/>
      <c r="G235" s="551"/>
      <c r="H235" s="551"/>
      <c r="I235" s="551"/>
      <c r="J235" s="551"/>
      <c r="K235" s="551"/>
      <c r="L235" s="551"/>
      <c r="M235" s="551"/>
      <c r="N235" s="551"/>
      <c r="O235" s="551"/>
      <c r="P235" s="551"/>
      <c r="Q235" s="551"/>
      <c r="R235" s="551"/>
      <c r="S235" s="551"/>
      <c r="T235" s="551"/>
      <c r="U235" s="551"/>
      <c r="V235" s="551"/>
      <c r="W235" s="551"/>
      <c r="X235" s="551"/>
      <c r="Y235" s="551"/>
      <c r="Z235" s="551"/>
      <c r="AA235" s="551"/>
      <c r="AB235" s="551"/>
      <c r="AC235" s="551"/>
      <c r="AD235" s="551"/>
      <c r="AE235" s="551"/>
      <c r="AF235" s="551"/>
      <c r="AG235" s="551"/>
    </row>
    <row r="236" spans="1:33" x14ac:dyDescent="0.35">
      <c r="A236" s="551"/>
      <c r="B236" s="551"/>
      <c r="C236" s="551"/>
      <c r="D236" s="551"/>
      <c r="E236" s="551"/>
      <c r="F236" s="551"/>
      <c r="G236" s="551"/>
      <c r="H236" s="551"/>
      <c r="I236" s="551"/>
      <c r="J236" s="551"/>
      <c r="K236" s="551"/>
      <c r="L236" s="551"/>
      <c r="M236" s="551"/>
      <c r="N236" s="551"/>
      <c r="O236" s="551"/>
      <c r="P236" s="551"/>
      <c r="Q236" s="551"/>
      <c r="R236" s="551"/>
      <c r="S236" s="551"/>
      <c r="T236" s="551"/>
      <c r="U236" s="551"/>
      <c r="V236" s="551"/>
      <c r="W236" s="551"/>
      <c r="X236" s="551"/>
      <c r="Y236" s="551"/>
      <c r="Z236" s="551"/>
      <c r="AA236" s="551"/>
      <c r="AB236" s="551"/>
      <c r="AC236" s="551"/>
      <c r="AD236" s="551"/>
      <c r="AE236" s="551"/>
      <c r="AF236" s="551"/>
      <c r="AG236" s="551"/>
    </row>
    <row r="237" spans="1:33" x14ac:dyDescent="0.35">
      <c r="A237" s="551"/>
      <c r="B237" s="551"/>
      <c r="C237" s="551"/>
      <c r="D237" s="551"/>
      <c r="E237" s="551"/>
      <c r="F237" s="551"/>
      <c r="G237" s="551"/>
      <c r="H237" s="551"/>
      <c r="I237" s="551"/>
      <c r="J237" s="551"/>
      <c r="K237" s="551"/>
      <c r="L237" s="551"/>
      <c r="M237" s="551"/>
      <c r="N237" s="551"/>
      <c r="O237" s="551"/>
      <c r="P237" s="551"/>
      <c r="Q237" s="551"/>
      <c r="R237" s="551"/>
      <c r="S237" s="551"/>
      <c r="T237" s="551"/>
      <c r="U237" s="551"/>
      <c r="V237" s="551"/>
      <c r="W237" s="551"/>
      <c r="X237" s="551"/>
      <c r="Y237" s="551"/>
      <c r="Z237" s="551"/>
      <c r="AA237" s="551"/>
      <c r="AB237" s="551"/>
      <c r="AC237" s="551"/>
      <c r="AD237" s="551"/>
      <c r="AE237" s="551"/>
      <c r="AF237" s="551"/>
      <c r="AG237" s="551"/>
    </row>
    <row r="238" spans="1:33" x14ac:dyDescent="0.35">
      <c r="A238" s="551"/>
      <c r="B238" s="551"/>
      <c r="C238" s="551"/>
      <c r="D238" s="551"/>
      <c r="E238" s="551"/>
      <c r="F238" s="551"/>
      <c r="G238" s="551"/>
      <c r="H238" s="551"/>
      <c r="I238" s="551"/>
      <c r="J238" s="551"/>
      <c r="K238" s="551"/>
      <c r="L238" s="551"/>
      <c r="M238" s="551"/>
      <c r="N238" s="551"/>
      <c r="O238" s="551"/>
      <c r="P238" s="551"/>
      <c r="Q238" s="551"/>
      <c r="R238" s="551"/>
      <c r="S238" s="551"/>
      <c r="T238" s="551"/>
      <c r="U238" s="551"/>
      <c r="V238" s="551"/>
      <c r="W238" s="551"/>
      <c r="X238" s="551"/>
      <c r="Y238" s="551"/>
      <c r="Z238" s="551"/>
      <c r="AA238" s="551"/>
      <c r="AB238" s="551"/>
      <c r="AC238" s="551"/>
      <c r="AD238" s="551"/>
      <c r="AE238" s="551"/>
      <c r="AF238" s="551"/>
      <c r="AG238" s="551"/>
    </row>
    <row r="239" spans="1:33" x14ac:dyDescent="0.35">
      <c r="A239" s="551"/>
      <c r="B239" s="551"/>
      <c r="C239" s="551"/>
      <c r="D239" s="551"/>
      <c r="E239" s="551"/>
      <c r="F239" s="551"/>
      <c r="G239" s="551"/>
      <c r="H239" s="551"/>
      <c r="I239" s="551"/>
      <c r="J239" s="551"/>
      <c r="K239" s="551"/>
      <c r="L239" s="551"/>
      <c r="M239" s="551"/>
      <c r="N239" s="551"/>
      <c r="O239" s="551"/>
      <c r="P239" s="551"/>
      <c r="Q239" s="551"/>
      <c r="R239" s="551"/>
      <c r="S239" s="551"/>
      <c r="T239" s="551"/>
      <c r="U239" s="551"/>
      <c r="V239" s="551"/>
      <c r="W239" s="551"/>
      <c r="X239" s="551"/>
      <c r="Y239" s="551"/>
      <c r="Z239" s="551"/>
      <c r="AA239" s="551"/>
      <c r="AB239" s="551"/>
      <c r="AC239" s="551"/>
      <c r="AD239" s="551"/>
      <c r="AE239" s="551"/>
      <c r="AF239" s="551"/>
      <c r="AG239" s="551"/>
    </row>
    <row r="240" spans="1:33" x14ac:dyDescent="0.35">
      <c r="A240" s="551"/>
      <c r="B240" s="551"/>
      <c r="C240" s="551"/>
      <c r="D240" s="551"/>
      <c r="E240" s="551"/>
      <c r="F240" s="551"/>
      <c r="G240" s="551"/>
      <c r="H240" s="551"/>
      <c r="I240" s="551"/>
      <c r="J240" s="551"/>
      <c r="K240" s="551"/>
      <c r="L240" s="551"/>
      <c r="M240" s="551"/>
      <c r="N240" s="551"/>
      <c r="O240" s="551"/>
      <c r="P240" s="551"/>
      <c r="Q240" s="551"/>
      <c r="R240" s="551"/>
      <c r="S240" s="551"/>
      <c r="T240" s="551"/>
      <c r="U240" s="551"/>
      <c r="V240" s="551"/>
      <c r="W240" s="551"/>
      <c r="X240" s="551"/>
      <c r="Y240" s="551"/>
      <c r="Z240" s="551"/>
      <c r="AA240" s="551"/>
      <c r="AB240" s="551"/>
      <c r="AC240" s="551"/>
      <c r="AD240" s="551"/>
      <c r="AE240" s="551"/>
      <c r="AF240" s="551"/>
      <c r="AG240" s="551"/>
    </row>
    <row r="241" spans="1:33" x14ac:dyDescent="0.35">
      <c r="A241" s="551"/>
      <c r="B241" s="551"/>
      <c r="C241" s="551"/>
      <c r="D241" s="551"/>
      <c r="E241" s="551"/>
      <c r="F241" s="551"/>
      <c r="G241" s="551"/>
      <c r="H241" s="551"/>
      <c r="I241" s="551"/>
      <c r="J241" s="551"/>
      <c r="K241" s="551"/>
      <c r="L241" s="551"/>
      <c r="M241" s="551"/>
      <c r="N241" s="551"/>
      <c r="O241" s="551"/>
      <c r="P241" s="551"/>
      <c r="Q241" s="551"/>
      <c r="R241" s="551"/>
      <c r="S241" s="551"/>
      <c r="T241" s="551"/>
      <c r="U241" s="551"/>
      <c r="V241" s="551"/>
      <c r="W241" s="551"/>
      <c r="X241" s="551"/>
      <c r="Y241" s="551"/>
      <c r="Z241" s="551"/>
      <c r="AA241" s="551"/>
      <c r="AB241" s="551"/>
      <c r="AC241" s="551"/>
      <c r="AD241" s="551"/>
      <c r="AE241" s="551"/>
      <c r="AF241" s="551"/>
      <c r="AG241" s="551"/>
    </row>
    <row r="242" spans="1:33" x14ac:dyDescent="0.35">
      <c r="A242" s="551"/>
      <c r="B242" s="551"/>
      <c r="C242" s="551"/>
      <c r="D242" s="551"/>
      <c r="E242" s="551"/>
      <c r="F242" s="551"/>
      <c r="G242" s="551"/>
      <c r="H242" s="551"/>
      <c r="I242" s="551"/>
      <c r="J242" s="551"/>
      <c r="K242" s="551"/>
      <c r="L242" s="551"/>
      <c r="M242" s="551"/>
      <c r="N242" s="551"/>
      <c r="O242" s="551"/>
      <c r="P242" s="551"/>
      <c r="Q242" s="551"/>
      <c r="R242" s="551"/>
      <c r="S242" s="551"/>
      <c r="T242" s="551"/>
      <c r="U242" s="551"/>
      <c r="V242" s="551"/>
      <c r="W242" s="551"/>
      <c r="X242" s="551"/>
      <c r="Y242" s="551"/>
      <c r="Z242" s="551"/>
      <c r="AA242" s="551"/>
      <c r="AB242" s="551"/>
      <c r="AC242" s="551"/>
      <c r="AD242" s="551"/>
      <c r="AE242" s="551"/>
      <c r="AF242" s="551"/>
      <c r="AG242" s="551"/>
    </row>
    <row r="243" spans="1:33" x14ac:dyDescent="0.35">
      <c r="A243" s="551"/>
      <c r="B243" s="551"/>
      <c r="C243" s="551"/>
      <c r="D243" s="551"/>
      <c r="E243" s="551"/>
      <c r="F243" s="551"/>
      <c r="G243" s="551"/>
      <c r="H243" s="551"/>
      <c r="I243" s="551"/>
      <c r="J243" s="551"/>
      <c r="K243" s="551"/>
      <c r="L243" s="551"/>
      <c r="M243" s="551"/>
      <c r="N243" s="551"/>
      <c r="O243" s="551"/>
      <c r="P243" s="551"/>
      <c r="Q243" s="551"/>
      <c r="R243" s="551"/>
      <c r="S243" s="551"/>
      <c r="T243" s="551"/>
      <c r="U243" s="551"/>
      <c r="V243" s="551"/>
      <c r="W243" s="551"/>
      <c r="X243" s="551"/>
      <c r="Y243" s="551"/>
      <c r="Z243" s="551"/>
      <c r="AA243" s="551"/>
      <c r="AB243" s="551"/>
      <c r="AC243" s="551"/>
      <c r="AD243" s="551"/>
      <c r="AE243" s="551"/>
      <c r="AF243" s="551"/>
      <c r="AG243" s="551"/>
    </row>
    <row r="244" spans="1:33" x14ac:dyDescent="0.35">
      <c r="A244" s="551"/>
      <c r="B244" s="551"/>
      <c r="C244" s="551"/>
      <c r="D244" s="551"/>
      <c r="E244" s="551"/>
      <c r="F244" s="551"/>
      <c r="G244" s="551"/>
      <c r="H244" s="551"/>
      <c r="I244" s="551"/>
      <c r="J244" s="551"/>
      <c r="K244" s="551"/>
      <c r="L244" s="551"/>
      <c r="M244" s="551"/>
      <c r="N244" s="551"/>
      <c r="O244" s="551"/>
      <c r="P244" s="551"/>
      <c r="Q244" s="551"/>
      <c r="R244" s="551"/>
      <c r="S244" s="551"/>
      <c r="T244" s="551"/>
      <c r="U244" s="551"/>
      <c r="V244" s="551"/>
      <c r="W244" s="551"/>
      <c r="X244" s="551"/>
      <c r="Y244" s="551"/>
      <c r="Z244" s="551"/>
      <c r="AA244" s="551"/>
      <c r="AB244" s="551"/>
      <c r="AC244" s="551"/>
      <c r="AD244" s="551"/>
      <c r="AE244" s="551"/>
      <c r="AF244" s="551"/>
      <c r="AG244" s="551"/>
    </row>
    <row r="245" spans="1:33" x14ac:dyDescent="0.35">
      <c r="A245" s="551"/>
      <c r="B245" s="551"/>
      <c r="C245" s="551"/>
      <c r="D245" s="551"/>
      <c r="E245" s="551"/>
      <c r="F245" s="551"/>
      <c r="G245" s="551"/>
      <c r="H245" s="551"/>
      <c r="I245" s="551"/>
      <c r="J245" s="551"/>
      <c r="K245" s="551"/>
      <c r="L245" s="551"/>
      <c r="M245" s="551"/>
      <c r="N245" s="551"/>
      <c r="O245" s="551"/>
      <c r="P245" s="551"/>
      <c r="Q245" s="551"/>
      <c r="R245" s="551"/>
      <c r="S245" s="551"/>
      <c r="T245" s="551"/>
      <c r="U245" s="551"/>
      <c r="V245" s="551"/>
      <c r="W245" s="551"/>
      <c r="X245" s="551"/>
      <c r="Y245" s="551"/>
      <c r="Z245" s="551"/>
      <c r="AA245" s="551"/>
      <c r="AB245" s="551"/>
      <c r="AC245" s="551"/>
      <c r="AD245" s="551"/>
      <c r="AE245" s="551"/>
      <c r="AF245" s="551"/>
      <c r="AG245" s="551"/>
    </row>
    <row r="246" spans="1:33" x14ac:dyDescent="0.35">
      <c r="A246" s="551"/>
      <c r="B246" s="551"/>
      <c r="C246" s="551"/>
      <c r="D246" s="551"/>
      <c r="E246" s="551"/>
      <c r="F246" s="551"/>
      <c r="G246" s="551"/>
      <c r="H246" s="551"/>
      <c r="I246" s="551"/>
      <c r="J246" s="551"/>
      <c r="K246" s="551"/>
      <c r="L246" s="551"/>
      <c r="M246" s="551"/>
      <c r="N246" s="551"/>
      <c r="O246" s="551"/>
      <c r="P246" s="551"/>
      <c r="Q246" s="551"/>
      <c r="R246" s="551"/>
      <c r="S246" s="551"/>
      <c r="T246" s="551"/>
      <c r="U246" s="551"/>
      <c r="V246" s="551"/>
      <c r="W246" s="551"/>
      <c r="X246" s="551"/>
      <c r="Y246" s="551"/>
      <c r="Z246" s="551"/>
      <c r="AA246" s="551"/>
      <c r="AB246" s="551"/>
      <c r="AC246" s="551"/>
      <c r="AD246" s="551"/>
      <c r="AE246" s="551"/>
      <c r="AF246" s="551"/>
      <c r="AG246" s="551"/>
    </row>
    <row r="247" spans="1:33" x14ac:dyDescent="0.35">
      <c r="A247" s="551"/>
      <c r="B247" s="551"/>
      <c r="C247" s="551"/>
      <c r="D247" s="551"/>
      <c r="E247" s="551"/>
      <c r="F247" s="551"/>
      <c r="G247" s="551"/>
      <c r="H247" s="551"/>
      <c r="I247" s="551"/>
      <c r="J247" s="551"/>
      <c r="K247" s="551"/>
      <c r="L247" s="551"/>
      <c r="M247" s="551"/>
      <c r="N247" s="551"/>
      <c r="O247" s="551"/>
      <c r="P247" s="551"/>
      <c r="Q247" s="551"/>
      <c r="R247" s="551"/>
      <c r="S247" s="551"/>
      <c r="T247" s="551"/>
      <c r="U247" s="551"/>
      <c r="V247" s="551"/>
      <c r="W247" s="551"/>
      <c r="X247" s="551"/>
      <c r="Y247" s="551"/>
      <c r="Z247" s="551"/>
      <c r="AA247" s="551"/>
      <c r="AB247" s="551"/>
      <c r="AC247" s="551"/>
      <c r="AD247" s="551"/>
      <c r="AE247" s="551"/>
      <c r="AF247" s="551"/>
      <c r="AG247" s="551"/>
    </row>
    <row r="248" spans="1:33" x14ac:dyDescent="0.35">
      <c r="A248" s="551"/>
      <c r="B248" s="551"/>
      <c r="C248" s="551"/>
      <c r="D248" s="551"/>
      <c r="E248" s="551"/>
      <c r="F248" s="551"/>
      <c r="G248" s="551"/>
      <c r="H248" s="551"/>
      <c r="I248" s="551"/>
      <c r="J248" s="551"/>
      <c r="K248" s="551"/>
      <c r="L248" s="551"/>
      <c r="M248" s="551"/>
      <c r="N248" s="551"/>
      <c r="O248" s="551"/>
      <c r="P248" s="551"/>
      <c r="Q248" s="551"/>
      <c r="R248" s="551"/>
      <c r="S248" s="551"/>
      <c r="T248" s="551"/>
      <c r="U248" s="551"/>
      <c r="V248" s="551"/>
      <c r="W248" s="551"/>
      <c r="X248" s="551"/>
      <c r="Y248" s="551"/>
      <c r="Z248" s="551"/>
      <c r="AA248" s="551"/>
      <c r="AB248" s="551"/>
      <c r="AC248" s="551"/>
      <c r="AD248" s="551"/>
      <c r="AE248" s="551"/>
      <c r="AF248" s="551"/>
      <c r="AG248" s="551"/>
    </row>
    <row r="249" spans="1:33" x14ac:dyDescent="0.35">
      <c r="A249" s="551"/>
      <c r="B249" s="551"/>
      <c r="C249" s="551"/>
      <c r="D249" s="551"/>
      <c r="E249" s="551"/>
      <c r="F249" s="551"/>
      <c r="G249" s="551"/>
      <c r="H249" s="551"/>
      <c r="I249" s="551"/>
      <c r="J249" s="551"/>
      <c r="K249" s="551"/>
      <c r="L249" s="551"/>
      <c r="M249" s="551"/>
      <c r="N249" s="551"/>
      <c r="O249" s="551"/>
      <c r="P249" s="551"/>
      <c r="Q249" s="551"/>
      <c r="R249" s="551"/>
      <c r="S249" s="551"/>
      <c r="T249" s="551"/>
      <c r="U249" s="551"/>
      <c r="V249" s="551"/>
      <c r="W249" s="551"/>
      <c r="X249" s="551"/>
      <c r="Y249" s="551"/>
      <c r="Z249" s="551"/>
      <c r="AA249" s="551"/>
      <c r="AB249" s="551"/>
      <c r="AC249" s="551"/>
      <c r="AD249" s="551"/>
      <c r="AE249" s="551"/>
      <c r="AF249" s="551"/>
      <c r="AG249" s="551"/>
    </row>
    <row r="250" spans="1:33" x14ac:dyDescent="0.35">
      <c r="A250" s="551"/>
      <c r="B250" s="551"/>
      <c r="C250" s="551"/>
      <c r="D250" s="551"/>
      <c r="E250" s="551"/>
      <c r="F250" s="551"/>
      <c r="G250" s="551"/>
      <c r="H250" s="551"/>
      <c r="I250" s="551"/>
      <c r="J250" s="551"/>
      <c r="K250" s="551"/>
      <c r="L250" s="551"/>
      <c r="M250" s="551"/>
      <c r="N250" s="551"/>
      <c r="O250" s="551"/>
      <c r="P250" s="551"/>
      <c r="Q250" s="551"/>
      <c r="R250" s="551"/>
      <c r="S250" s="551"/>
      <c r="T250" s="551"/>
      <c r="U250" s="551"/>
      <c r="V250" s="551"/>
      <c r="W250" s="551"/>
      <c r="X250" s="551"/>
      <c r="Y250" s="551"/>
      <c r="Z250" s="551"/>
      <c r="AA250" s="551"/>
      <c r="AB250" s="551"/>
      <c r="AC250" s="551"/>
      <c r="AD250" s="551"/>
      <c r="AE250" s="551"/>
      <c r="AF250" s="551"/>
      <c r="AG250" s="551"/>
    </row>
    <row r="251" spans="1:33" x14ac:dyDescent="0.35">
      <c r="A251" s="551"/>
      <c r="B251" s="551"/>
      <c r="C251" s="551"/>
      <c r="D251" s="551"/>
      <c r="E251" s="551"/>
      <c r="F251" s="551"/>
      <c r="G251" s="551"/>
      <c r="H251" s="551"/>
      <c r="I251" s="551"/>
      <c r="J251" s="551"/>
      <c r="K251" s="551"/>
      <c r="L251" s="551"/>
      <c r="M251" s="551"/>
      <c r="N251" s="551"/>
      <c r="O251" s="551"/>
      <c r="P251" s="551"/>
      <c r="Q251" s="551"/>
      <c r="R251" s="551"/>
      <c r="S251" s="551"/>
      <c r="T251" s="551"/>
      <c r="U251" s="551"/>
      <c r="V251" s="551"/>
      <c r="W251" s="551"/>
      <c r="X251" s="551"/>
      <c r="Y251" s="551"/>
      <c r="Z251" s="551"/>
      <c r="AA251" s="551"/>
      <c r="AB251" s="551"/>
      <c r="AC251" s="551"/>
      <c r="AD251" s="551"/>
      <c r="AE251" s="551"/>
      <c r="AF251" s="551"/>
      <c r="AG251" s="551"/>
    </row>
    <row r="252" spans="1:33" x14ac:dyDescent="0.35">
      <c r="A252" s="551"/>
      <c r="B252" s="551"/>
      <c r="C252" s="551"/>
      <c r="D252" s="551"/>
      <c r="E252" s="551"/>
      <c r="F252" s="551"/>
      <c r="G252" s="551"/>
      <c r="H252" s="551"/>
      <c r="I252" s="551"/>
      <c r="J252" s="551"/>
      <c r="K252" s="551"/>
      <c r="L252" s="551"/>
      <c r="M252" s="551"/>
      <c r="N252" s="551"/>
      <c r="O252" s="551"/>
      <c r="P252" s="551"/>
      <c r="Q252" s="551"/>
      <c r="R252" s="551"/>
      <c r="S252" s="551"/>
      <c r="T252" s="551"/>
      <c r="U252" s="551"/>
      <c r="V252" s="551"/>
      <c r="W252" s="551"/>
      <c r="X252" s="551"/>
      <c r="Y252" s="551"/>
      <c r="Z252" s="551"/>
      <c r="AA252" s="551"/>
      <c r="AB252" s="551"/>
      <c r="AC252" s="551"/>
      <c r="AD252" s="551"/>
      <c r="AE252" s="551"/>
      <c r="AF252" s="551"/>
      <c r="AG252" s="551"/>
    </row>
    <row r="253" spans="1:33" x14ac:dyDescent="0.35">
      <c r="A253" s="551"/>
      <c r="B253" s="551"/>
      <c r="C253" s="551"/>
      <c r="D253" s="551"/>
      <c r="E253" s="551"/>
      <c r="F253" s="551"/>
      <c r="G253" s="551"/>
      <c r="H253" s="551"/>
      <c r="I253" s="551"/>
      <c r="J253" s="551"/>
      <c r="K253" s="551"/>
      <c r="L253" s="551"/>
      <c r="M253" s="551"/>
      <c r="N253" s="551"/>
      <c r="O253" s="551"/>
      <c r="P253" s="551"/>
      <c r="Q253" s="551"/>
      <c r="R253" s="551"/>
      <c r="S253" s="551"/>
      <c r="T253" s="551"/>
      <c r="U253" s="551"/>
      <c r="V253" s="551"/>
      <c r="W253" s="551"/>
      <c r="X253" s="551"/>
      <c r="Y253" s="551"/>
      <c r="Z253" s="551"/>
      <c r="AA253" s="551"/>
      <c r="AB253" s="551"/>
      <c r="AC253" s="551"/>
      <c r="AD253" s="551"/>
      <c r="AE253" s="551"/>
      <c r="AF253" s="551"/>
      <c r="AG253" s="551"/>
    </row>
    <row r="254" spans="1:33" x14ac:dyDescent="0.35">
      <c r="A254" s="551"/>
      <c r="B254" s="551"/>
      <c r="C254" s="551"/>
      <c r="D254" s="551"/>
      <c r="E254" s="551"/>
      <c r="F254" s="551"/>
      <c r="G254" s="551"/>
      <c r="H254" s="551"/>
      <c r="I254" s="551"/>
      <c r="J254" s="551"/>
      <c r="K254" s="551"/>
      <c r="L254" s="551"/>
      <c r="M254" s="551"/>
      <c r="N254" s="551"/>
      <c r="O254" s="551"/>
      <c r="P254" s="551"/>
      <c r="Q254" s="551"/>
      <c r="R254" s="551"/>
      <c r="S254" s="551"/>
      <c r="T254" s="551"/>
      <c r="U254" s="551"/>
      <c r="V254" s="551"/>
      <c r="W254" s="551"/>
      <c r="X254" s="551"/>
      <c r="Y254" s="551"/>
      <c r="Z254" s="551"/>
      <c r="AA254" s="551"/>
      <c r="AB254" s="551"/>
      <c r="AC254" s="551"/>
      <c r="AD254" s="551"/>
      <c r="AE254" s="551"/>
      <c r="AF254" s="551"/>
      <c r="AG254" s="551"/>
    </row>
    <row r="255" spans="1:33" x14ac:dyDescent="0.35">
      <c r="A255" s="551"/>
      <c r="B255" s="551"/>
      <c r="C255" s="551"/>
      <c r="D255" s="551"/>
      <c r="E255" s="551"/>
      <c r="F255" s="551"/>
      <c r="G255" s="551"/>
      <c r="H255" s="551"/>
      <c r="I255" s="551"/>
      <c r="J255" s="551"/>
      <c r="K255" s="551"/>
      <c r="L255" s="551"/>
      <c r="M255" s="551"/>
      <c r="N255" s="551"/>
      <c r="O255" s="551"/>
      <c r="P255" s="551"/>
      <c r="Q255" s="551"/>
      <c r="R255" s="551"/>
      <c r="S255" s="551"/>
      <c r="T255" s="551"/>
      <c r="U255" s="551"/>
      <c r="V255" s="551"/>
      <c r="W255" s="551"/>
      <c r="X255" s="551"/>
      <c r="Y255" s="551"/>
      <c r="Z255" s="551"/>
      <c r="AA255" s="551"/>
      <c r="AB255" s="551"/>
      <c r="AC255" s="551"/>
      <c r="AD255" s="551"/>
      <c r="AE255" s="551"/>
      <c r="AF255" s="551"/>
      <c r="AG255" s="551"/>
    </row>
    <row r="256" spans="1:33" x14ac:dyDescent="0.35">
      <c r="A256" s="551"/>
      <c r="B256" s="551"/>
      <c r="C256" s="551"/>
      <c r="D256" s="551"/>
      <c r="E256" s="551"/>
      <c r="F256" s="551"/>
      <c r="G256" s="551"/>
      <c r="H256" s="551"/>
      <c r="I256" s="551"/>
      <c r="J256" s="551"/>
      <c r="K256" s="551"/>
      <c r="L256" s="551"/>
      <c r="M256" s="551"/>
      <c r="N256" s="551"/>
      <c r="O256" s="551"/>
      <c r="P256" s="551"/>
      <c r="Q256" s="551"/>
      <c r="R256" s="551"/>
      <c r="S256" s="551"/>
      <c r="T256" s="551"/>
      <c r="U256" s="551"/>
      <c r="V256" s="551"/>
      <c r="W256" s="551"/>
      <c r="X256" s="551"/>
      <c r="Y256" s="551"/>
      <c r="Z256" s="551"/>
      <c r="AA256" s="551"/>
      <c r="AB256" s="551"/>
      <c r="AC256" s="551"/>
      <c r="AD256" s="551"/>
      <c r="AE256" s="551"/>
      <c r="AF256" s="551"/>
      <c r="AG256" s="551"/>
    </row>
    <row r="257" spans="1:33" x14ac:dyDescent="0.35">
      <c r="A257" s="551"/>
      <c r="B257" s="551"/>
      <c r="C257" s="551"/>
      <c r="D257" s="551"/>
      <c r="E257" s="551"/>
      <c r="F257" s="551"/>
      <c r="G257" s="551"/>
      <c r="H257" s="551"/>
      <c r="I257" s="551"/>
      <c r="J257" s="551"/>
      <c r="K257" s="551"/>
      <c r="L257" s="551"/>
      <c r="M257" s="551"/>
      <c r="N257" s="551"/>
      <c r="O257" s="551"/>
      <c r="P257" s="551"/>
      <c r="Q257" s="551"/>
      <c r="R257" s="551"/>
      <c r="S257" s="551"/>
      <c r="T257" s="551"/>
      <c r="U257" s="551"/>
      <c r="V257" s="551"/>
      <c r="W257" s="551"/>
      <c r="X257" s="551"/>
      <c r="Y257" s="551"/>
      <c r="Z257" s="551"/>
      <c r="AA257" s="551"/>
      <c r="AB257" s="551"/>
      <c r="AC257" s="551"/>
      <c r="AD257" s="551"/>
      <c r="AE257" s="551"/>
      <c r="AF257" s="551"/>
      <c r="AG257" s="551"/>
    </row>
    <row r="258" spans="1:33" x14ac:dyDescent="0.35">
      <c r="A258" s="551"/>
      <c r="B258" s="551"/>
      <c r="C258" s="551"/>
      <c r="D258" s="551"/>
      <c r="E258" s="551"/>
      <c r="F258" s="551"/>
      <c r="G258" s="551"/>
      <c r="H258" s="551"/>
      <c r="I258" s="551"/>
      <c r="J258" s="551"/>
      <c r="K258" s="551"/>
      <c r="L258" s="551"/>
      <c r="M258" s="551"/>
      <c r="N258" s="551"/>
      <c r="O258" s="551"/>
      <c r="P258" s="551"/>
      <c r="Q258" s="551"/>
      <c r="R258" s="551"/>
      <c r="S258" s="551"/>
      <c r="T258" s="551"/>
      <c r="U258" s="551"/>
      <c r="V258" s="551"/>
      <c r="W258" s="551"/>
      <c r="X258" s="551"/>
      <c r="Y258" s="551"/>
      <c r="Z258" s="551"/>
      <c r="AA258" s="551"/>
      <c r="AB258" s="551"/>
      <c r="AC258" s="551"/>
      <c r="AD258" s="551"/>
      <c r="AE258" s="551"/>
      <c r="AF258" s="551"/>
      <c r="AG258" s="551"/>
    </row>
    <row r="259" spans="1:33" x14ac:dyDescent="0.35">
      <c r="B259" s="551"/>
    </row>
    <row r="260" spans="1:33" x14ac:dyDescent="0.35">
      <c r="B260" s="551"/>
    </row>
    <row r="261" spans="1:33" x14ac:dyDescent="0.35">
      <c r="B261" s="551"/>
    </row>
    <row r="262" spans="1:33" x14ac:dyDescent="0.35">
      <c r="B262" s="551"/>
    </row>
    <row r="263" spans="1:33" x14ac:dyDescent="0.35">
      <c r="B263" s="551"/>
    </row>
    <row r="264" spans="1:33" x14ac:dyDescent="0.35">
      <c r="B264" s="551"/>
    </row>
    <row r="265" spans="1:33" x14ac:dyDescent="0.35">
      <c r="B265" s="551"/>
    </row>
    <row r="266" spans="1:33" x14ac:dyDescent="0.35">
      <c r="B266" s="551"/>
    </row>
    <row r="267" spans="1:33" x14ac:dyDescent="0.35">
      <c r="B267" s="551"/>
    </row>
    <row r="268" spans="1:33" x14ac:dyDescent="0.35">
      <c r="B268" s="551"/>
    </row>
    <row r="269" spans="1:33" x14ac:dyDescent="0.35">
      <c r="B269" s="551"/>
    </row>
    <row r="270" spans="1:33" x14ac:dyDescent="0.35">
      <c r="B270" s="551"/>
    </row>
    <row r="271" spans="1:33" x14ac:dyDescent="0.35">
      <c r="B271" s="551"/>
    </row>
    <row r="272" spans="1:33" x14ac:dyDescent="0.35">
      <c r="B272" s="551"/>
    </row>
    <row r="273" spans="2:2" x14ac:dyDescent="0.35">
      <c r="B273" s="551"/>
    </row>
    <row r="274" spans="2:2" x14ac:dyDescent="0.35">
      <c r="B274" s="551"/>
    </row>
    <row r="275" spans="2:2" x14ac:dyDescent="0.35">
      <c r="B275" s="551"/>
    </row>
    <row r="276" spans="2:2" x14ac:dyDescent="0.35">
      <c r="B276" s="551"/>
    </row>
    <row r="277" spans="2:2" x14ac:dyDescent="0.35">
      <c r="B277" s="551"/>
    </row>
    <row r="278" spans="2:2" x14ac:dyDescent="0.35">
      <c r="B278" s="551"/>
    </row>
    <row r="279" spans="2:2" x14ac:dyDescent="0.35">
      <c r="B279" s="551"/>
    </row>
    <row r="280" spans="2:2" x14ac:dyDescent="0.35">
      <c r="B280" s="551"/>
    </row>
    <row r="281" spans="2:2" x14ac:dyDescent="0.35">
      <c r="B281" s="551"/>
    </row>
    <row r="282" spans="2:2" x14ac:dyDescent="0.35">
      <c r="B282" s="551"/>
    </row>
    <row r="283" spans="2:2" x14ac:dyDescent="0.35">
      <c r="B283" s="551"/>
    </row>
    <row r="284" spans="2:2" x14ac:dyDescent="0.35">
      <c r="B284" s="551"/>
    </row>
    <row r="285" spans="2:2" x14ac:dyDescent="0.35">
      <c r="B285" s="551"/>
    </row>
    <row r="286" spans="2:2" x14ac:dyDescent="0.35">
      <c r="B286" s="551"/>
    </row>
    <row r="287" spans="2:2" x14ac:dyDescent="0.35">
      <c r="B287" s="551"/>
    </row>
    <row r="288" spans="2:2" x14ac:dyDescent="0.35">
      <c r="B288" s="551"/>
    </row>
    <row r="289" spans="2:2" x14ac:dyDescent="0.35">
      <c r="B289" s="551"/>
    </row>
    <row r="290" spans="2:2" x14ac:dyDescent="0.35">
      <c r="B290" s="551"/>
    </row>
    <row r="291" spans="2:2" x14ac:dyDescent="0.35">
      <c r="B291" s="551"/>
    </row>
    <row r="292" spans="2:2" x14ac:dyDescent="0.35">
      <c r="B292" s="551"/>
    </row>
    <row r="293" spans="2:2" x14ac:dyDescent="0.35">
      <c r="B293" s="551"/>
    </row>
    <row r="294" spans="2:2" x14ac:dyDescent="0.35">
      <c r="B294" s="551"/>
    </row>
    <row r="295" spans="2:2" x14ac:dyDescent="0.35">
      <c r="B295" s="551"/>
    </row>
    <row r="296" spans="2:2" x14ac:dyDescent="0.35">
      <c r="B296" s="551"/>
    </row>
    <row r="297" spans="2:2" x14ac:dyDescent="0.35">
      <c r="B297" s="551"/>
    </row>
    <row r="298" spans="2:2" x14ac:dyDescent="0.35">
      <c r="B298" s="551"/>
    </row>
    <row r="299" spans="2:2" x14ac:dyDescent="0.35">
      <c r="B299" s="551"/>
    </row>
    <row r="300" spans="2:2" x14ac:dyDescent="0.35">
      <c r="B300" s="551"/>
    </row>
    <row r="301" spans="2:2" x14ac:dyDescent="0.35">
      <c r="B301" s="551"/>
    </row>
    <row r="302" spans="2:2" x14ac:dyDescent="0.35">
      <c r="B302" s="551"/>
    </row>
    <row r="303" spans="2:2" x14ac:dyDescent="0.35">
      <c r="B303" s="551"/>
    </row>
    <row r="304" spans="2:2" x14ac:dyDescent="0.35">
      <c r="B304" s="551"/>
    </row>
    <row r="305" spans="2:2" x14ac:dyDescent="0.35">
      <c r="B305" s="551"/>
    </row>
    <row r="306" spans="2:2" x14ac:dyDescent="0.35">
      <c r="B306" s="551"/>
    </row>
    <row r="307" spans="2:2" x14ac:dyDescent="0.35">
      <c r="B307" s="551"/>
    </row>
    <row r="308" spans="2:2" x14ac:dyDescent="0.35">
      <c r="B308" s="551"/>
    </row>
    <row r="309" spans="2:2" x14ac:dyDescent="0.35">
      <c r="B309" s="551"/>
    </row>
    <row r="310" spans="2:2" x14ac:dyDescent="0.35">
      <c r="B310" s="551"/>
    </row>
    <row r="311" spans="2:2" x14ac:dyDescent="0.35">
      <c r="B311" s="551"/>
    </row>
    <row r="312" spans="2:2" x14ac:dyDescent="0.35">
      <c r="B312" s="551"/>
    </row>
    <row r="313" spans="2:2" x14ac:dyDescent="0.35">
      <c r="B313" s="551"/>
    </row>
    <row r="314" spans="2:2" x14ac:dyDescent="0.35">
      <c r="B314" s="551"/>
    </row>
    <row r="315" spans="2:2" x14ac:dyDescent="0.35">
      <c r="B315" s="551"/>
    </row>
    <row r="316" spans="2:2" x14ac:dyDescent="0.35">
      <c r="B316" s="551"/>
    </row>
    <row r="317" spans="2:2" x14ac:dyDescent="0.35">
      <c r="B317" s="551"/>
    </row>
    <row r="318" spans="2:2" x14ac:dyDescent="0.35">
      <c r="B318" s="551"/>
    </row>
    <row r="319" spans="2:2" x14ac:dyDescent="0.35">
      <c r="B319" s="551"/>
    </row>
    <row r="320" spans="2:2" x14ac:dyDescent="0.35">
      <c r="B320" s="551"/>
    </row>
    <row r="321" spans="2:2" x14ac:dyDescent="0.35">
      <c r="B321" s="551"/>
    </row>
    <row r="322" spans="2:2" x14ac:dyDescent="0.35">
      <c r="B322" s="551"/>
    </row>
    <row r="323" spans="2:2" x14ac:dyDescent="0.35">
      <c r="B323" s="551"/>
    </row>
    <row r="324" spans="2:2" x14ac:dyDescent="0.35">
      <c r="B324" s="551"/>
    </row>
    <row r="325" spans="2:2" x14ac:dyDescent="0.35">
      <c r="B325" s="551"/>
    </row>
    <row r="326" spans="2:2" x14ac:dyDescent="0.35">
      <c r="B326" s="551"/>
    </row>
    <row r="327" spans="2:2" x14ac:dyDescent="0.35">
      <c r="B327" s="551"/>
    </row>
    <row r="328" spans="2:2" x14ac:dyDescent="0.35">
      <c r="B328" s="551"/>
    </row>
    <row r="329" spans="2:2" x14ac:dyDescent="0.35">
      <c r="B329" s="551"/>
    </row>
    <row r="330" spans="2:2" x14ac:dyDescent="0.35">
      <c r="B330" s="551"/>
    </row>
    <row r="331" spans="2:2" x14ac:dyDescent="0.35">
      <c r="B331" s="551"/>
    </row>
    <row r="332" spans="2:2" x14ac:dyDescent="0.35">
      <c r="B332" s="551"/>
    </row>
    <row r="333" spans="2:2" x14ac:dyDescent="0.35">
      <c r="B333" s="551"/>
    </row>
    <row r="334" spans="2:2" x14ac:dyDescent="0.35">
      <c r="B334" s="551"/>
    </row>
    <row r="335" spans="2:2" x14ac:dyDescent="0.35">
      <c r="B335" s="551"/>
    </row>
    <row r="336" spans="2:2" x14ac:dyDescent="0.35">
      <c r="B336" s="551"/>
    </row>
    <row r="337" spans="2:2" x14ac:dyDescent="0.35">
      <c r="B337" s="551"/>
    </row>
    <row r="338" spans="2:2" x14ac:dyDescent="0.35">
      <c r="B338" s="551"/>
    </row>
    <row r="339" spans="2:2" x14ac:dyDescent="0.35">
      <c r="B339" s="551"/>
    </row>
    <row r="340" spans="2:2" x14ac:dyDescent="0.35">
      <c r="B340" s="551"/>
    </row>
    <row r="341" spans="2:2" x14ac:dyDescent="0.35">
      <c r="B341" s="551"/>
    </row>
    <row r="342" spans="2:2" x14ac:dyDescent="0.35">
      <c r="B342" s="551"/>
    </row>
    <row r="343" spans="2:2" x14ac:dyDescent="0.35">
      <c r="B343" s="551"/>
    </row>
    <row r="344" spans="2:2" x14ac:dyDescent="0.35">
      <c r="B344" s="551"/>
    </row>
    <row r="345" spans="2:2" x14ac:dyDescent="0.35">
      <c r="B345" s="551"/>
    </row>
    <row r="346" spans="2:2" x14ac:dyDescent="0.35">
      <c r="B346" s="551"/>
    </row>
    <row r="347" spans="2:2" x14ac:dyDescent="0.35">
      <c r="B347" s="551"/>
    </row>
    <row r="348" spans="2:2" x14ac:dyDescent="0.35">
      <c r="B348" s="551"/>
    </row>
    <row r="349" spans="2:2" x14ac:dyDescent="0.35">
      <c r="B349" s="551"/>
    </row>
    <row r="350" spans="2:2" x14ac:dyDescent="0.35">
      <c r="B350" s="551"/>
    </row>
    <row r="351" spans="2:2" x14ac:dyDescent="0.35">
      <c r="B351" s="551"/>
    </row>
    <row r="352" spans="2:2" x14ac:dyDescent="0.35">
      <c r="B352" s="551"/>
    </row>
    <row r="353" spans="2:2" x14ac:dyDescent="0.35">
      <c r="B353" s="551"/>
    </row>
    <row r="354" spans="2:2" x14ac:dyDescent="0.35">
      <c r="B354" s="551"/>
    </row>
    <row r="355" spans="2:2" x14ac:dyDescent="0.35">
      <c r="B355" s="551"/>
    </row>
    <row r="356" spans="2:2" x14ac:dyDescent="0.35">
      <c r="B356" s="551"/>
    </row>
    <row r="357" spans="2:2" x14ac:dyDescent="0.35">
      <c r="B357" s="551"/>
    </row>
    <row r="358" spans="2:2" x14ac:dyDescent="0.35">
      <c r="B358" s="551"/>
    </row>
    <row r="359" spans="2:2" x14ac:dyDescent="0.35">
      <c r="B359" s="551"/>
    </row>
    <row r="360" spans="2:2" x14ac:dyDescent="0.35">
      <c r="B360" s="551"/>
    </row>
    <row r="361" spans="2:2" x14ac:dyDescent="0.35">
      <c r="B361" s="551"/>
    </row>
    <row r="362" spans="2:2" x14ac:dyDescent="0.35">
      <c r="B362" s="551"/>
    </row>
    <row r="363" spans="2:2" x14ac:dyDescent="0.35">
      <c r="B363" s="551"/>
    </row>
    <row r="364" spans="2:2" x14ac:dyDescent="0.35">
      <c r="B364" s="551"/>
    </row>
    <row r="365" spans="2:2" x14ac:dyDescent="0.35">
      <c r="B365" s="551"/>
    </row>
  </sheetData>
  <sheetProtection algorithmName="SHA-512" hashValue="ZKR16MvO8oNLIIsa+auo+f0oJhqSmtazbkPYT9zDYR03IVyDkojmzYWJzO/SPlB0Uu9El2toNxhLgBKbteX+rQ==" saltValue="ubr4gOBq6gI9EWXQwVLsiA==" spinCount="100000" sheet="1" objects="1" scenarios="1"/>
  <mergeCells count="8">
    <mergeCell ref="B2:C2"/>
    <mergeCell ref="D5:M5"/>
    <mergeCell ref="D6:M6"/>
    <mergeCell ref="D7:M7"/>
    <mergeCell ref="D2:M2"/>
    <mergeCell ref="D4:M4"/>
    <mergeCell ref="D3:M3"/>
    <mergeCell ref="B3:C5"/>
  </mergeCells>
  <hyperlinks>
    <hyperlink ref="D5:M5" r:id="rId1" display="Table C taken from: national Records of Scotland: Population Estimates Time Series Data. Table_5, titled: &quot;Mid-year population estimates by sex and age group, 1911-2021&quot;" xr:uid="{7F8DA55F-C35C-417B-8463-565992B36B34}"/>
    <hyperlink ref="D4:M4" r:id="rId2" display="2020-based interim national population projections: year ending June 2022 estimated international migration variant- data set: Scotland population XML open data edition of this dataset" xr:uid="{C8B17759-1D00-4149-BD8C-34BB34229883}"/>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1F631-B2BC-479D-8897-1163CC9796E5}">
  <dimension ref="B4:E8"/>
  <sheetViews>
    <sheetView workbookViewId="0">
      <selection activeCell="B8" sqref="B8"/>
    </sheetView>
  </sheetViews>
  <sheetFormatPr defaultRowHeight="14.4" x14ac:dyDescent="0.3"/>
  <cols>
    <col min="3" max="3" width="36.21875" bestFit="1" customWidth="1"/>
    <col min="4" max="4" width="54.5546875" bestFit="1" customWidth="1"/>
  </cols>
  <sheetData>
    <row r="4" spans="2:5" x14ac:dyDescent="0.3">
      <c r="B4">
        <v>2019</v>
      </c>
      <c r="C4" t="s">
        <v>436</v>
      </c>
      <c r="D4" t="s">
        <v>437</v>
      </c>
      <c r="E4" t="s">
        <v>438</v>
      </c>
    </row>
    <row r="5" spans="2:5" x14ac:dyDescent="0.3">
      <c r="B5">
        <v>2030</v>
      </c>
      <c r="C5" t="s">
        <v>439</v>
      </c>
      <c r="D5" t="s">
        <v>440</v>
      </c>
      <c r="E5" t="s">
        <v>441</v>
      </c>
    </row>
    <row r="6" spans="2:5" x14ac:dyDescent="0.3">
      <c r="B6">
        <v>2040</v>
      </c>
      <c r="C6" t="s">
        <v>442</v>
      </c>
      <c r="E6" t="s">
        <v>443</v>
      </c>
    </row>
    <row r="7" spans="2:5" x14ac:dyDescent="0.3">
      <c r="B7">
        <v>2045</v>
      </c>
      <c r="C7" t="s">
        <v>444</v>
      </c>
    </row>
    <row r="8" spans="2:5" x14ac:dyDescent="0.3">
      <c r="C8" t="s">
        <v>445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8778E-2953-4682-AB4C-AAED9F12A62F}">
  <dimension ref="A2:I15"/>
  <sheetViews>
    <sheetView topLeftCell="A7" zoomScaleNormal="100" workbookViewId="0">
      <selection activeCell="C9" sqref="C9"/>
    </sheetView>
  </sheetViews>
  <sheetFormatPr defaultRowHeight="14.4" x14ac:dyDescent="0.3"/>
  <cols>
    <col min="1" max="1" width="64.21875" customWidth="1"/>
    <col min="3" max="3" width="63.77734375" customWidth="1"/>
    <col min="4" max="4" width="28.44140625" customWidth="1"/>
    <col min="5" max="5" width="31.5546875" customWidth="1"/>
    <col min="8" max="8" width="28.5546875" customWidth="1"/>
    <col min="9" max="9" width="26.77734375" customWidth="1"/>
  </cols>
  <sheetData>
    <row r="2" spans="1:9" x14ac:dyDescent="0.3">
      <c r="A2" s="3" t="s">
        <v>447</v>
      </c>
      <c r="B2" s="3" t="s">
        <v>448</v>
      </c>
      <c r="C2" s="3" t="s">
        <v>449</v>
      </c>
      <c r="D2" s="3" t="s">
        <v>450</v>
      </c>
      <c r="E2" s="3" t="s">
        <v>451</v>
      </c>
    </row>
    <row r="3" spans="1:9" ht="86.4" x14ac:dyDescent="0.3">
      <c r="A3" s="4" t="s">
        <v>452</v>
      </c>
      <c r="B3" s="6" t="s">
        <v>456</v>
      </c>
      <c r="C3" s="4" t="s">
        <v>457</v>
      </c>
      <c r="D3" s="3" t="s">
        <v>478</v>
      </c>
      <c r="E3" s="3"/>
    </row>
    <row r="4" spans="1:9" ht="273.60000000000002" x14ac:dyDescent="0.3">
      <c r="A4" s="4" t="s">
        <v>453</v>
      </c>
      <c r="B4" s="6" t="s">
        <v>456</v>
      </c>
      <c r="C4" s="8" t="s">
        <v>474</v>
      </c>
      <c r="D4" s="4" t="s">
        <v>495</v>
      </c>
      <c r="E4" s="3"/>
    </row>
    <row r="5" spans="1:9" ht="144" x14ac:dyDescent="0.3">
      <c r="A5" s="4" t="s">
        <v>475</v>
      </c>
      <c r="B5" s="6" t="s">
        <v>456</v>
      </c>
      <c r="C5" s="7" t="s">
        <v>458</v>
      </c>
      <c r="D5" s="4" t="s">
        <v>496</v>
      </c>
      <c r="E5" s="3"/>
    </row>
    <row r="6" spans="1:9" x14ac:dyDescent="0.3">
      <c r="A6" s="4" t="s">
        <v>454</v>
      </c>
      <c r="B6" s="5"/>
      <c r="C6" s="5"/>
      <c r="D6" s="5"/>
      <c r="E6" s="5"/>
    </row>
    <row r="7" spans="1:9" ht="273.60000000000002" x14ac:dyDescent="0.3">
      <c r="A7" s="4" t="s">
        <v>471</v>
      </c>
      <c r="B7" s="6" t="s">
        <v>456</v>
      </c>
      <c r="C7" s="7" t="s">
        <v>470</v>
      </c>
      <c r="D7" s="7" t="s">
        <v>482</v>
      </c>
      <c r="E7" s="3"/>
      <c r="H7" s="1" t="s">
        <v>472</v>
      </c>
    </row>
    <row r="8" spans="1:9" ht="43.2" x14ac:dyDescent="0.3">
      <c r="A8" s="4" t="s">
        <v>446</v>
      </c>
      <c r="B8" s="6" t="s">
        <v>456</v>
      </c>
      <c r="C8" s="7" t="s">
        <v>462</v>
      </c>
      <c r="D8" s="3" t="s">
        <v>484</v>
      </c>
      <c r="E8" s="3"/>
      <c r="H8" t="s">
        <v>45</v>
      </c>
      <c r="I8" t="s">
        <v>460</v>
      </c>
    </row>
    <row r="9" spans="1:9" ht="288" x14ac:dyDescent="0.3">
      <c r="A9" s="4" t="s">
        <v>477</v>
      </c>
      <c r="B9" s="6" t="s">
        <v>456</v>
      </c>
      <c r="C9" s="7" t="s">
        <v>476</v>
      </c>
      <c r="D9" s="4" t="s">
        <v>501</v>
      </c>
      <c r="E9" s="3"/>
      <c r="H9" t="s">
        <v>459</v>
      </c>
      <c r="I9" t="s">
        <v>461</v>
      </c>
    </row>
    <row r="10" spans="1:9" ht="72" x14ac:dyDescent="0.3">
      <c r="A10" s="4" t="s">
        <v>455</v>
      </c>
      <c r="B10" s="6" t="s">
        <v>456</v>
      </c>
      <c r="C10" s="4" t="s">
        <v>473</v>
      </c>
      <c r="D10" s="3" t="s">
        <v>503</v>
      </c>
      <c r="E10" s="3"/>
      <c r="H10" t="s">
        <v>459</v>
      </c>
      <c r="I10" t="s">
        <v>463</v>
      </c>
    </row>
    <row r="11" spans="1:9" ht="57.6" x14ac:dyDescent="0.3">
      <c r="A11" s="4" t="s">
        <v>505</v>
      </c>
      <c r="B11" s="3"/>
      <c r="C11" s="4" t="s">
        <v>506</v>
      </c>
      <c r="D11" s="3"/>
      <c r="E11" s="3"/>
      <c r="H11" t="s">
        <v>459</v>
      </c>
      <c r="I11" t="s">
        <v>464</v>
      </c>
    </row>
    <row r="12" spans="1:9" x14ac:dyDescent="0.3">
      <c r="H12" t="s">
        <v>459</v>
      </c>
      <c r="I12" t="s">
        <v>467</v>
      </c>
    </row>
    <row r="13" spans="1:9" x14ac:dyDescent="0.3">
      <c r="H13" t="s">
        <v>459</v>
      </c>
      <c r="I13" t="s">
        <v>468</v>
      </c>
    </row>
    <row r="14" spans="1:9" x14ac:dyDescent="0.3">
      <c r="H14" t="s">
        <v>465</v>
      </c>
      <c r="I14" t="s">
        <v>466</v>
      </c>
    </row>
    <row r="15" spans="1:9" x14ac:dyDescent="0.3">
      <c r="H15" t="s">
        <v>465</v>
      </c>
      <c r="I15" t="s">
        <v>469</v>
      </c>
    </row>
  </sheetData>
  <pageMargins left="0.7" right="0.7" top="0.75" bottom="0.75" header="0.3" footer="0.3"/>
  <pageSetup paperSize="9" orientation="portrait"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794CA-D0FB-4AF0-80F7-A2E8E75DB8B3}">
  <sheetPr>
    <tabColor theme="9" tint="0.39997558519241921"/>
  </sheetPr>
  <dimension ref="B2:F16"/>
  <sheetViews>
    <sheetView showGridLines="0" zoomScaleNormal="100" workbookViewId="0">
      <selection activeCell="E2" sqref="E2"/>
    </sheetView>
  </sheetViews>
  <sheetFormatPr defaultRowHeight="18" x14ac:dyDescent="0.35"/>
  <cols>
    <col min="1" max="1" width="8.88671875" style="19"/>
    <col min="2" max="2" width="14.109375" style="19" customWidth="1"/>
    <col min="3" max="3" width="24.77734375" style="24" customWidth="1"/>
    <col min="4" max="4" width="11" style="19" customWidth="1"/>
    <col min="5" max="5" width="116" style="25" customWidth="1"/>
    <col min="6" max="6" width="109.21875" style="19" customWidth="1"/>
    <col min="7" max="16384" width="8.88671875" style="19"/>
  </cols>
  <sheetData>
    <row r="2" spans="2:6" x14ac:dyDescent="0.35">
      <c r="C2" s="19"/>
      <c r="E2" s="20" t="s">
        <v>537</v>
      </c>
    </row>
    <row r="4" spans="2:6" s="18" customFormat="1" x14ac:dyDescent="0.35">
      <c r="B4" s="9" t="s">
        <v>45</v>
      </c>
      <c r="C4" s="10" t="s">
        <v>46</v>
      </c>
      <c r="D4" s="11" t="s">
        <v>47</v>
      </c>
      <c r="E4" s="12" t="s">
        <v>48</v>
      </c>
      <c r="F4" s="13" t="s">
        <v>49</v>
      </c>
    </row>
    <row r="5" spans="2:6" ht="270" x14ac:dyDescent="0.35">
      <c r="B5" s="14" t="s">
        <v>509</v>
      </c>
      <c r="C5" s="15" t="s">
        <v>11</v>
      </c>
      <c r="D5" s="15" t="s">
        <v>510</v>
      </c>
      <c r="E5" s="16" t="s">
        <v>50</v>
      </c>
      <c r="F5" s="16" t="s">
        <v>507</v>
      </c>
    </row>
    <row r="6" spans="2:6" ht="126" x14ac:dyDescent="0.35">
      <c r="B6" s="14" t="s">
        <v>509</v>
      </c>
      <c r="C6" s="15" t="s">
        <v>24</v>
      </c>
      <c r="D6" s="15" t="s">
        <v>511</v>
      </c>
      <c r="E6" s="16" t="s">
        <v>51</v>
      </c>
      <c r="F6" s="17"/>
    </row>
    <row r="7" spans="2:6" ht="218.4" x14ac:dyDescent="0.35">
      <c r="B7" s="14" t="s">
        <v>509</v>
      </c>
      <c r="C7" s="15" t="s">
        <v>34</v>
      </c>
      <c r="D7" s="15" t="s">
        <v>512</v>
      </c>
      <c r="E7" s="16" t="s">
        <v>518</v>
      </c>
      <c r="F7" s="17" t="s">
        <v>52</v>
      </c>
    </row>
    <row r="8" spans="2:6" ht="54" x14ac:dyDescent="0.35">
      <c r="B8" s="14" t="s">
        <v>53</v>
      </c>
      <c r="C8" s="15" t="s">
        <v>1</v>
      </c>
      <c r="D8" s="15" t="s">
        <v>513</v>
      </c>
      <c r="E8" s="16" t="s">
        <v>54</v>
      </c>
      <c r="F8" s="17"/>
    </row>
    <row r="9" spans="2:6" ht="92.4" x14ac:dyDescent="0.35">
      <c r="B9" s="14" t="s">
        <v>53</v>
      </c>
      <c r="C9" s="14" t="s">
        <v>55</v>
      </c>
      <c r="D9" s="15" t="s">
        <v>514</v>
      </c>
      <c r="E9" s="16" t="s">
        <v>519</v>
      </c>
      <c r="F9" s="17"/>
    </row>
    <row r="10" spans="2:6" ht="272.39999999999998" x14ac:dyDescent="0.35">
      <c r="B10" s="14" t="s">
        <v>53</v>
      </c>
      <c r="C10" s="14" t="s">
        <v>56</v>
      </c>
      <c r="D10" s="15" t="s">
        <v>515</v>
      </c>
      <c r="E10" s="16" t="s">
        <v>520</v>
      </c>
      <c r="F10" s="17" t="s">
        <v>508</v>
      </c>
    </row>
    <row r="11" spans="2:6" x14ac:dyDescent="0.35">
      <c r="B11" s="20"/>
      <c r="C11" s="21"/>
      <c r="D11" s="21"/>
      <c r="E11" s="22"/>
      <c r="F11" s="23"/>
    </row>
    <row r="12" spans="2:6" x14ac:dyDescent="0.35">
      <c r="B12" s="20"/>
      <c r="C12" s="21"/>
      <c r="D12" s="21"/>
      <c r="E12" s="22"/>
      <c r="F12" s="23"/>
    </row>
    <row r="13" spans="2:6" x14ac:dyDescent="0.35">
      <c r="B13" s="20"/>
      <c r="C13" s="21"/>
      <c r="D13" s="21"/>
      <c r="E13" s="22"/>
      <c r="F13" s="23"/>
    </row>
    <row r="14" spans="2:6" x14ac:dyDescent="0.35">
      <c r="B14" s="20"/>
      <c r="C14" s="21"/>
      <c r="D14" s="21"/>
      <c r="E14" s="22"/>
      <c r="F14" s="23"/>
    </row>
    <row r="15" spans="2:6" x14ac:dyDescent="0.35">
      <c r="B15" s="20"/>
      <c r="C15" s="21"/>
      <c r="D15" s="21"/>
      <c r="E15" s="22"/>
      <c r="F15" s="23"/>
    </row>
    <row r="16" spans="2:6" x14ac:dyDescent="0.35">
      <c r="B16" s="20"/>
      <c r="C16" s="21"/>
      <c r="D16" s="21"/>
      <c r="E16" s="22"/>
      <c r="F16" s="23"/>
    </row>
  </sheetData>
  <sheetProtection algorithmName="SHA-512" hashValue="Nn+jh8LuL/CS5tYxCrSup6K5Z+vVmDygmm7vb+uuQyt7+aEmsTomWFufxYvEXMYf6qNxvS74vlJb9P6VGUYtiQ==" saltValue="vKuqqUCT+yLG7ClilQejE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16AEE-DCBF-4CBC-9F53-02E452B43721}">
  <sheetPr>
    <tabColor theme="9" tint="0.59999389629810485"/>
  </sheetPr>
  <dimension ref="B5:X102"/>
  <sheetViews>
    <sheetView showGridLines="0" topLeftCell="A27" zoomScaleNormal="100" workbookViewId="0">
      <selection activeCell="C7" sqref="C7"/>
    </sheetView>
  </sheetViews>
  <sheetFormatPr defaultRowHeight="18" x14ac:dyDescent="0.35"/>
  <cols>
    <col min="1" max="1" width="1.44140625" style="19" customWidth="1"/>
    <col min="2" max="2" width="101.5546875" style="19" customWidth="1"/>
    <col min="3" max="3" width="18.88671875" style="19" bestFit="1" customWidth="1"/>
    <col min="4" max="5" width="20.88671875" style="19" bestFit="1" customWidth="1"/>
    <col min="6" max="6" width="16.109375" style="19" bestFit="1" customWidth="1"/>
    <col min="7" max="7" width="13.88671875" style="19" bestFit="1" customWidth="1"/>
    <col min="8" max="8" width="16.109375" style="19" bestFit="1" customWidth="1"/>
    <col min="9" max="9" width="9.21875" style="19" bestFit="1" customWidth="1"/>
    <col min="10" max="10" width="13.5546875" style="19" bestFit="1" customWidth="1"/>
    <col min="11" max="11" width="14.77734375" style="19" bestFit="1" customWidth="1"/>
    <col min="12" max="12" width="61.21875" style="19" bestFit="1" customWidth="1"/>
    <col min="13" max="13" width="12.109375" style="19" bestFit="1" customWidth="1"/>
    <col min="14" max="14" width="12.77734375" style="19" bestFit="1" customWidth="1"/>
    <col min="15" max="24" width="9.21875" style="19" bestFit="1" customWidth="1"/>
    <col min="25" max="16384" width="8.88671875" style="19"/>
  </cols>
  <sheetData>
    <row r="5" spans="2:15" x14ac:dyDescent="0.35">
      <c r="B5" s="247"/>
      <c r="C5" s="247"/>
      <c r="D5" s="247"/>
      <c r="E5" s="247"/>
      <c r="F5" s="247"/>
      <c r="G5" s="247"/>
      <c r="H5" s="247"/>
      <c r="I5" s="247"/>
      <c r="J5" s="247"/>
      <c r="K5" s="247"/>
    </row>
    <row r="6" spans="2:15" x14ac:dyDescent="0.35">
      <c r="B6" s="247"/>
      <c r="C6" s="247"/>
      <c r="D6" s="247"/>
      <c r="E6" s="247"/>
      <c r="F6" s="247"/>
      <c r="G6" s="247"/>
      <c r="H6" s="247"/>
      <c r="I6" s="247"/>
      <c r="J6" s="247"/>
      <c r="K6" s="247"/>
    </row>
    <row r="7" spans="2:15" ht="18.600000000000001" thickBot="1" x14ac:dyDescent="0.4">
      <c r="B7" s="248" t="s">
        <v>11</v>
      </c>
      <c r="C7" s="247"/>
      <c r="D7" s="247"/>
      <c r="E7" s="247"/>
      <c r="F7" s="247"/>
      <c r="G7" s="247"/>
      <c r="H7" s="247"/>
      <c r="I7" s="247"/>
      <c r="J7" s="247"/>
      <c r="K7" s="247"/>
    </row>
    <row r="8" spans="2:15" x14ac:dyDescent="0.35">
      <c r="B8" s="249"/>
      <c r="C8" s="593" t="s">
        <v>12</v>
      </c>
      <c r="D8" s="584"/>
      <c r="E8" s="594"/>
      <c r="F8" s="584" t="s">
        <v>13</v>
      </c>
      <c r="G8" s="584"/>
      <c r="H8" s="585"/>
      <c r="I8" s="247"/>
      <c r="J8" s="247"/>
      <c r="K8" s="247"/>
      <c r="M8" s="60"/>
      <c r="N8" s="60"/>
    </row>
    <row r="9" spans="2:15" x14ac:dyDescent="0.35">
      <c r="B9" s="252"/>
      <c r="C9" s="253" t="s">
        <v>14</v>
      </c>
      <c r="D9" s="254" t="s">
        <v>15</v>
      </c>
      <c r="E9" s="255" t="s">
        <v>16</v>
      </c>
      <c r="F9" s="254" t="s">
        <v>14</v>
      </c>
      <c r="G9" s="254" t="s">
        <v>15</v>
      </c>
      <c r="H9" s="256" t="s">
        <v>16</v>
      </c>
      <c r="I9" s="247"/>
      <c r="J9" s="247"/>
      <c r="K9" s="247"/>
    </row>
    <row r="10" spans="2:15" x14ac:dyDescent="0.35">
      <c r="B10" s="257" t="s">
        <v>17</v>
      </c>
      <c r="C10" s="258">
        <f>'Tatis Tables (2021)'!AI64</f>
        <v>29095207041.058498</v>
      </c>
      <c r="D10" s="177">
        <f>'Tatis Tables (2021)'!AI77</f>
        <v>41464857603.105743</v>
      </c>
      <c r="E10" s="259">
        <f>'Tatis Tables (2021)'!AI90</f>
        <v>53481126924.394501</v>
      </c>
      <c r="F10" s="260">
        <f>C10/C10</f>
        <v>1</v>
      </c>
      <c r="G10" s="260">
        <f t="shared" ref="G10:H10" si="0">D10/D10</f>
        <v>1</v>
      </c>
      <c r="H10" s="261">
        <f t="shared" si="0"/>
        <v>1</v>
      </c>
      <c r="I10" s="247"/>
      <c r="J10" s="247"/>
      <c r="K10" s="247"/>
      <c r="M10" s="262"/>
      <c r="N10" s="262"/>
      <c r="O10" s="262"/>
    </row>
    <row r="11" spans="2:15" x14ac:dyDescent="0.35">
      <c r="B11" s="257" t="s">
        <v>18</v>
      </c>
      <c r="C11" s="258">
        <f>SUM('Tatis Tables (2021)'!AI65:AI66)</f>
        <v>790267601.55899978</v>
      </c>
      <c r="D11" s="177">
        <f>SUM('Tatis Tables (2021)'!AI78:AI79)</f>
        <v>1249810977.6884999</v>
      </c>
      <c r="E11" s="259">
        <f>SUM('Tatis Tables (2021)'!AI91:AI92)</f>
        <v>1591681848.4520993</v>
      </c>
      <c r="F11" s="260">
        <f>(C11/$C$10)</f>
        <v>2.7161435917736967E-2</v>
      </c>
      <c r="G11" s="260">
        <f>(D11/$D$10)</f>
        <v>3.0141451097010118E-2</v>
      </c>
      <c r="H11" s="261">
        <f>(E11/$E$10)</f>
        <v>2.9761561507524646E-2</v>
      </c>
      <c r="I11" s="247"/>
      <c r="J11" s="247"/>
      <c r="K11" s="247"/>
    </row>
    <row r="12" spans="2:15" x14ac:dyDescent="0.35">
      <c r="B12" s="257" t="s">
        <v>19</v>
      </c>
      <c r="C12" s="258">
        <f>SUM('Tatis Tables (2021)'!AI65:AI68)</f>
        <v>3018232700.9009995</v>
      </c>
      <c r="D12" s="177">
        <f>SUM('Tatis Tables (2021)'!AI78:AI81)</f>
        <v>4158547400.4945002</v>
      </c>
      <c r="E12" s="259">
        <f>SUM('Tatis Tables (2021)'!AI91:AI94)</f>
        <v>5094547349.4806995</v>
      </c>
      <c r="F12" s="260">
        <f>(C12/$C$10)</f>
        <v>0.10373642286311067</v>
      </c>
      <c r="G12" s="260">
        <f>(D12/$D$10)</f>
        <v>0.10029088825769951</v>
      </c>
      <c r="H12" s="261">
        <f>(E12/$E$10)</f>
        <v>9.5258788332616626E-2</v>
      </c>
      <c r="I12" s="247"/>
      <c r="J12" s="247"/>
      <c r="K12" s="247"/>
    </row>
    <row r="13" spans="2:15" x14ac:dyDescent="0.35">
      <c r="B13" s="257" t="s">
        <v>20</v>
      </c>
      <c r="C13" s="252"/>
      <c r="D13" s="247"/>
      <c r="E13" s="263"/>
      <c r="F13" s="260"/>
      <c r="G13" s="260"/>
      <c r="H13" s="261"/>
      <c r="I13" s="247"/>
      <c r="J13" s="247" t="s">
        <v>9</v>
      </c>
      <c r="K13" s="177"/>
    </row>
    <row r="14" spans="2:15" x14ac:dyDescent="0.35">
      <c r="B14" s="257" t="s">
        <v>21</v>
      </c>
      <c r="C14" s="252"/>
      <c r="D14" s="247"/>
      <c r="E14" s="263"/>
      <c r="F14" s="260"/>
      <c r="G14" s="260"/>
      <c r="H14" s="261"/>
      <c r="I14" s="247"/>
      <c r="J14" s="247"/>
      <c r="K14" s="247"/>
    </row>
    <row r="15" spans="2:15" x14ac:dyDescent="0.35">
      <c r="B15" s="257" t="s">
        <v>22</v>
      </c>
      <c r="C15" s="258">
        <f>SUM('Tatis Tables (2021)'!AI69:AI72)</f>
        <v>16529201994.157499</v>
      </c>
      <c r="D15" s="177">
        <f>SUM('Tatis Tables (2021)'!AI82:AI85)</f>
        <v>22984651683.611248</v>
      </c>
      <c r="E15" s="259">
        <f>SUM('Tatis Tables (2021)'!AI95:AI98)</f>
        <v>29291034882.913795</v>
      </c>
      <c r="F15" s="260">
        <f>(C15/$C$10)</f>
        <v>0.56810738520718762</v>
      </c>
      <c r="G15" s="260">
        <f>(D15/$D$10)</f>
        <v>0.55431642630046518</v>
      </c>
      <c r="H15" s="261">
        <f>(E15/$E$10)</f>
        <v>0.54768918621184082</v>
      </c>
      <c r="I15" s="264"/>
      <c r="J15" s="247"/>
      <c r="K15" s="177"/>
    </row>
    <row r="16" spans="2:15" ht="18.600000000000001" thickBot="1" x14ac:dyDescent="0.4">
      <c r="B16" s="265" t="s">
        <v>23</v>
      </c>
      <c r="C16" s="266">
        <f>'Tatis Tables (2021)'!AI73</f>
        <v>9547772345.9999962</v>
      </c>
      <c r="D16" s="199">
        <f>'Tatis Tables (2021)'!AI86</f>
        <v>14321658519.000002</v>
      </c>
      <c r="E16" s="267">
        <f>'Tatis Tables (2021)'!AI99</f>
        <v>19095544691.999992</v>
      </c>
      <c r="F16" s="268">
        <f>(C16/$C$10)</f>
        <v>0.32815619192970152</v>
      </c>
      <c r="G16" s="268">
        <f>(D16/$D$10)</f>
        <v>0.34539268544183549</v>
      </c>
      <c r="H16" s="269">
        <f>(E16/$E$10)</f>
        <v>0.35705202545554227</v>
      </c>
      <c r="I16" s="247"/>
      <c r="J16" s="247"/>
      <c r="K16" s="177"/>
    </row>
    <row r="17" spans="2:15" x14ac:dyDescent="0.35">
      <c r="B17" s="270"/>
      <c r="C17" s="177"/>
      <c r="D17" s="177"/>
      <c r="E17" s="177"/>
      <c r="F17" s="260"/>
      <c r="G17" s="260"/>
      <c r="H17" s="260"/>
      <c r="I17" s="247"/>
      <c r="J17" s="247"/>
      <c r="K17" s="177"/>
    </row>
    <row r="18" spans="2:15" ht="18.600000000000001" thickBot="1" x14ac:dyDescent="0.4">
      <c r="B18" s="248" t="s">
        <v>24</v>
      </c>
      <c r="C18" s="177"/>
      <c r="D18" s="177"/>
      <c r="E18" s="177"/>
      <c r="F18" s="260"/>
      <c r="G18" s="260"/>
      <c r="H18" s="260"/>
      <c r="I18" s="247"/>
      <c r="J18" s="247"/>
      <c r="K18" s="177"/>
    </row>
    <row r="19" spans="2:15" x14ac:dyDescent="0.35">
      <c r="B19" s="271"/>
      <c r="C19" s="595" t="s">
        <v>12</v>
      </c>
      <c r="D19" s="596"/>
      <c r="E19" s="596"/>
      <c r="F19" s="589" t="s">
        <v>25</v>
      </c>
      <c r="G19" s="584"/>
      <c r="H19" s="594"/>
      <c r="I19" s="584" t="s">
        <v>26</v>
      </c>
      <c r="J19" s="584"/>
      <c r="K19" s="585"/>
    </row>
    <row r="20" spans="2:15" x14ac:dyDescent="0.35">
      <c r="B20" s="257"/>
      <c r="C20" s="272" t="s">
        <v>14</v>
      </c>
      <c r="D20" s="254" t="s">
        <v>15</v>
      </c>
      <c r="E20" s="255" t="s">
        <v>16</v>
      </c>
      <c r="F20" s="273" t="s">
        <v>14</v>
      </c>
      <c r="G20" s="254" t="s">
        <v>15</v>
      </c>
      <c r="H20" s="255" t="s">
        <v>16</v>
      </c>
      <c r="I20" s="254" t="s">
        <v>14</v>
      </c>
      <c r="J20" s="254" t="s">
        <v>15</v>
      </c>
      <c r="K20" s="256" t="s">
        <v>16</v>
      </c>
    </row>
    <row r="21" spans="2:15" x14ac:dyDescent="0.35">
      <c r="B21" s="257" t="s">
        <v>27</v>
      </c>
      <c r="C21" s="258">
        <f>'Tatis Tables (2021)'!AB64</f>
        <v>19376105224.627499</v>
      </c>
      <c r="D21" s="177">
        <f>'Tatis Tables (2021)'!AB77</f>
        <v>27565043914.662743</v>
      </c>
      <c r="E21" s="177">
        <f>'Tatis Tables (2021)'!AB90</f>
        <v>35569271097.788399</v>
      </c>
      <c r="F21" s="274">
        <f>C21/$C$21</f>
        <v>1</v>
      </c>
      <c r="G21" s="260">
        <f>D21/$D$21</f>
        <v>1</v>
      </c>
      <c r="H21" s="275">
        <f>E21/$E$21</f>
        <v>1</v>
      </c>
      <c r="I21" s="260">
        <f>C21/$C$10</f>
        <v>0.66595522751511538</v>
      </c>
      <c r="J21" s="260">
        <f>D21/$D$10</f>
        <v>0.6647808652452265</v>
      </c>
      <c r="K21" s="261">
        <f>E21/$E$10</f>
        <v>0.66508080781603884</v>
      </c>
    </row>
    <row r="22" spans="2:15" x14ac:dyDescent="0.35">
      <c r="B22" s="257" t="s">
        <v>28</v>
      </c>
      <c r="C22" s="258">
        <f>SUM('Tatis Tables (2021)'!AB65:AB66)</f>
        <v>277036949.97599995</v>
      </c>
      <c r="D22" s="177">
        <f>SUM('Tatis Tables (2021)'!AB78:AB79)</f>
        <v>431013723.04799992</v>
      </c>
      <c r="E22" s="177">
        <f>SUM('Tatis Tables (2021)'!AB91:AB92)</f>
        <v>548011822.27199984</v>
      </c>
      <c r="F22" s="274">
        <f>C22/$C$21</f>
        <v>1.429786568375358E-2</v>
      </c>
      <c r="G22" s="260">
        <f>D22/$D$21</f>
        <v>1.5636242930805917E-2</v>
      </c>
      <c r="H22" s="275">
        <f>E22/$E$21</f>
        <v>1.5406889299625645E-2</v>
      </c>
      <c r="I22" s="260">
        <f>C22/$C$10</f>
        <v>9.5217383944046757E-3</v>
      </c>
      <c r="J22" s="260">
        <f>D22/$D$10</f>
        <v>1.0394675104725712E-2</v>
      </c>
      <c r="K22" s="261">
        <f>E22/$E$10</f>
        <v>1.0246826381327309E-2</v>
      </c>
    </row>
    <row r="23" spans="2:15" x14ac:dyDescent="0.35">
      <c r="B23" s="257" t="s">
        <v>29</v>
      </c>
      <c r="C23" s="258">
        <f>SUM('Tatis Tables (2021)'!AB65:AB68)</f>
        <v>1526128055.9400001</v>
      </c>
      <c r="D23" s="177">
        <f>SUM('Tatis Tables (2021)'!AB78:AB81)</f>
        <v>2066145513.2714996</v>
      </c>
      <c r="E23" s="177">
        <f>SUM('Tatis Tables (2021)'!AB91:AB94)</f>
        <v>2521483323.0105</v>
      </c>
      <c r="F23" s="274">
        <f>C23/$C$21</f>
        <v>7.8763406693325266E-2</v>
      </c>
      <c r="G23" s="260">
        <f>D23/$D$21</f>
        <v>7.4955277403800896E-2</v>
      </c>
      <c r="H23" s="275">
        <f>E23/$E$21</f>
        <v>7.0889372910632367E-2</v>
      </c>
      <c r="I23" s="260">
        <f>C23/$C$10</f>
        <v>5.2452902424318985E-2</v>
      </c>
      <c r="J23" s="260">
        <f>D23/$D$10</f>
        <v>4.9828834167194733E-2</v>
      </c>
      <c r="K23" s="261">
        <f t="shared" ref="K23" si="1">E23/$E$10</f>
        <v>4.7147161400975801E-2</v>
      </c>
    </row>
    <row r="24" spans="2:15" x14ac:dyDescent="0.35">
      <c r="B24" s="257" t="s">
        <v>30</v>
      </c>
      <c r="C24" s="258"/>
      <c r="D24" s="177"/>
      <c r="E24" s="177"/>
      <c r="F24" s="274"/>
      <c r="G24" s="260"/>
      <c r="H24" s="275"/>
      <c r="I24" s="260"/>
      <c r="J24" s="260"/>
      <c r="K24" s="261"/>
    </row>
    <row r="25" spans="2:15" x14ac:dyDescent="0.35">
      <c r="B25" s="257" t="s">
        <v>31</v>
      </c>
      <c r="C25" s="258"/>
      <c r="D25" s="177"/>
      <c r="E25" s="177"/>
      <c r="F25" s="274"/>
      <c r="G25" s="260"/>
      <c r="H25" s="275"/>
      <c r="I25" s="260"/>
      <c r="J25" s="260"/>
      <c r="K25" s="261"/>
    </row>
    <row r="26" spans="2:15" x14ac:dyDescent="0.35">
      <c r="B26" s="257" t="s">
        <v>32</v>
      </c>
      <c r="C26" s="258">
        <f>SUM('Tatis Tables (2021)'!AB69:AB72)</f>
        <v>11357491973.407497</v>
      </c>
      <c r="D26" s="177">
        <f>SUM('Tatis Tables (2021)'!AB82:AB85)</f>
        <v>15760170608.471247</v>
      </c>
      <c r="E26" s="177">
        <f>SUM('Tatis Tables (2021)'!AB95:AB98)</f>
        <v>20062817384.217896</v>
      </c>
      <c r="F26" s="274">
        <f>C26/$C$21</f>
        <v>0.58615969730448458</v>
      </c>
      <c r="G26" s="260">
        <f>D26/$D$21</f>
        <v>0.5717448032102681</v>
      </c>
      <c r="H26" s="275">
        <f>E26/$E$21</f>
        <v>0.56404915718009607</v>
      </c>
      <c r="I26" s="260">
        <f>C26/$C$10</f>
        <v>0.3903561145785992</v>
      </c>
      <c r="J26" s="260">
        <f>D26/$D$10</f>
        <v>0.38008500497758374</v>
      </c>
      <c r="K26" s="261">
        <f>E26/$E$10</f>
        <v>0.37513826910529413</v>
      </c>
    </row>
    <row r="27" spans="2:15" ht="18.600000000000001" thickBot="1" x14ac:dyDescent="0.4">
      <c r="B27" s="265" t="s">
        <v>33</v>
      </c>
      <c r="C27" s="266">
        <f>'Tatis Tables (2021)'!AB73</f>
        <v>6492485195.2799997</v>
      </c>
      <c r="D27" s="199">
        <f>'Tatis Tables (2021)'!AB86</f>
        <v>9738727792.9200001</v>
      </c>
      <c r="E27" s="199">
        <f>SUM('Tatis Tables (2021)'!AB99)</f>
        <v>12984970390.559999</v>
      </c>
      <c r="F27" s="276">
        <f>C27/$C$21</f>
        <v>0.33507689600219004</v>
      </c>
      <c r="G27" s="268">
        <f>D27/$D$21</f>
        <v>0.35329991938593119</v>
      </c>
      <c r="H27" s="277">
        <f>E27/$E$21</f>
        <v>0.36506146990927146</v>
      </c>
      <c r="I27" s="268">
        <f>C27/$C$10</f>
        <v>0.22314621051219713</v>
      </c>
      <c r="J27" s="268">
        <f>D27/$D$10</f>
        <v>0.2348670261004481</v>
      </c>
      <c r="K27" s="269">
        <f>E27/$E$10</f>
        <v>0.24279537730976883</v>
      </c>
    </row>
    <row r="28" spans="2:15" x14ac:dyDescent="0.35">
      <c r="B28" s="270"/>
      <c r="C28" s="177"/>
      <c r="D28" s="177"/>
      <c r="E28" s="177"/>
      <c r="F28" s="149"/>
      <c r="G28" s="149"/>
      <c r="H28" s="149"/>
      <c r="I28" s="149"/>
      <c r="J28" s="149"/>
      <c r="K28" s="149"/>
    </row>
    <row r="29" spans="2:15" ht="21.6" thickBot="1" x14ac:dyDescent="0.5">
      <c r="B29" s="270" t="s">
        <v>541</v>
      </c>
      <c r="C29" s="177"/>
      <c r="D29" s="177"/>
      <c r="E29" s="177"/>
      <c r="F29" s="149"/>
      <c r="G29" s="149"/>
      <c r="H29" s="149"/>
      <c r="I29" s="149"/>
      <c r="J29" s="149"/>
      <c r="K29" s="149"/>
    </row>
    <row r="30" spans="2:15" ht="21" x14ac:dyDescent="0.45">
      <c r="B30" s="271" t="s">
        <v>542</v>
      </c>
      <c r="C30" s="590" t="s">
        <v>543</v>
      </c>
      <c r="D30" s="591"/>
      <c r="E30" s="592"/>
      <c r="F30" s="589" t="s">
        <v>35</v>
      </c>
      <c r="G30" s="584"/>
      <c r="H30" s="585"/>
      <c r="I30" s="149"/>
      <c r="J30" s="149"/>
      <c r="K30" s="149"/>
      <c r="L30" s="149"/>
      <c r="M30" s="149"/>
      <c r="N30" s="149"/>
      <c r="O30" s="149"/>
    </row>
    <row r="31" spans="2:15" x14ac:dyDescent="0.35">
      <c r="B31" s="257"/>
      <c r="C31" s="273" t="s">
        <v>14</v>
      </c>
      <c r="D31" s="254" t="s">
        <v>15</v>
      </c>
      <c r="E31" s="255" t="s">
        <v>16</v>
      </c>
      <c r="F31" s="273" t="s">
        <v>14</v>
      </c>
      <c r="G31" s="254" t="s">
        <v>15</v>
      </c>
      <c r="H31" s="256" t="s">
        <v>16</v>
      </c>
      <c r="I31" s="149"/>
      <c r="J31" s="149"/>
      <c r="K31" s="149"/>
    </row>
    <row r="32" spans="2:15" x14ac:dyDescent="0.35">
      <c r="B32" s="278" t="s">
        <v>36</v>
      </c>
      <c r="C32" s="279">
        <f>((((C21*'Scottish Fleet Size'!$U$31)*'2023 ghg conversion factors'!$D$63)+((C21*'Scottish Fleet Size'!$U$30)*'2023 ghg conversion factors'!$H$63)+ ((C21*'Scottish Fleet Size'!$U$32)*'2023 ghg conversion factors'!$AB$63))/1000000)</f>
        <v>3194.6870802740059</v>
      </c>
      <c r="D32" s="280">
        <f>((((D21*'Scottish Fleet Size'!$U$31)*'2023 ghg conversion factors'!$D$63)+((D21*'Scottish Fleet Size'!$U$30)*'2023 ghg conversion factors'!$H$63)+ ((D21*'Scottish Fleet Size'!$U$32)*'2023 ghg conversion factors'!$AB$63))/1000000)</f>
        <v>4544.8602100606959</v>
      </c>
      <c r="E32" s="281">
        <f>((((E21*'Scottish Fleet Size'!$U$31)*'2023 ghg conversion factors'!$D$63)+((E21*'Scottish Fleet Size'!$U$30)*'2023 ghg conversion factors'!$H$63)+ ((E21*'Scottish Fleet Size'!$U$32)*'2023 ghg conversion factors'!$AB$63))/1000000)</f>
        <v>5864.5785369929918</v>
      </c>
      <c r="F32" s="260">
        <f>C32/$C$32</f>
        <v>1</v>
      </c>
      <c r="G32" s="260">
        <f>D32/$D$32</f>
        <v>1</v>
      </c>
      <c r="H32" s="261">
        <f>E32/$E$32</f>
        <v>1</v>
      </c>
      <c r="I32" s="149"/>
      <c r="J32" s="282"/>
      <c r="K32" s="282"/>
    </row>
    <row r="33" spans="2:19" x14ac:dyDescent="0.35">
      <c r="B33" s="278" t="s">
        <v>37</v>
      </c>
      <c r="C33" s="279">
        <f>((((C22*'Scottish Fleet Size'!$U$31)*'2023 ghg conversion factors'!$D$63)+((C22*'Scottish Fleet Size'!$U$30)*'2023 ghg conversion factors'!$H$63)+ ((C22*'Scottish Fleet Size'!$U$32)*'2023 ghg conversion factors'!$AB$63))/1000000)</f>
        <v>45.677206775380618</v>
      </c>
      <c r="D33" s="280">
        <f>((((D22*'Scottish Fleet Size'!$U$31)*'2023 ghg conversion factors'!$D$63)+((D22*'Scottish Fleet Size'!$U$30)*'2023 ghg conversion factors'!$H$63)+ ((D22*'Scottish Fleet Size'!$U$32)*'2023 ghg conversion factors'!$AB$63))/1000000)</f>
        <v>71.064538331062636</v>
      </c>
      <c r="E33" s="281">
        <f>((((E22*'Scottish Fleet Size'!$U$31)*'2023 ghg conversion factors'!$D$63)+((E22*'Scottish Fleet Size'!$U$30)*'2023 ghg conversion factors'!$H$63)+ ((E22*'Scottish Fleet Size'!$U$32)*'2023 ghg conversion factors'!$AB$63))/1000000)</f>
        <v>90.354912308411571</v>
      </c>
      <c r="F33" s="260">
        <f>C33/$C$32</f>
        <v>1.4297865683753578E-2</v>
      </c>
      <c r="G33" s="260">
        <f>D33/$D$32</f>
        <v>1.5636242930805913E-2</v>
      </c>
      <c r="H33" s="261">
        <f>E33/$E$32</f>
        <v>1.5406889299625649E-2</v>
      </c>
      <c r="I33" s="149"/>
      <c r="J33" s="282"/>
      <c r="K33" s="282"/>
    </row>
    <row r="34" spans="2:19" x14ac:dyDescent="0.35">
      <c r="B34" s="278" t="s">
        <v>38</v>
      </c>
      <c r="C34" s="279">
        <f>((((C23*'Scottish Fleet Size'!$U$31)*'2023 ghg conversion factors'!$D$63)+((C23*'Scottish Fleet Size'!$U$30)*'2023 ghg conversion factors'!$H$63)+ ((C23*'Scottish Fleet Size'!$U$32)*'2023 ghg conversion factors'!$AB$63))/1000000)</f>
        <v>251.62443776153336</v>
      </c>
      <c r="D34" s="280">
        <f>((((D23*'Scottish Fleet Size'!$U$31)*'2023 ghg conversion factors'!$D$63)+((D23*'Scottish Fleet Size'!$U$30)*'2023 ghg conversion factors'!$H$63)+ ((D23*'Scottish Fleet Size'!$U$32)*'2023 ghg conversion factors'!$AB$63))/1000000)</f>
        <v>340.66125780659621</v>
      </c>
      <c r="E34" s="281">
        <f>((((E23*'Scottish Fleet Size'!$U$31)*'2023 ghg conversion factors'!$D$63)+((E23*'Scottish Fleet Size'!$U$30)*'2023 ghg conversion factors'!$H$63)+ ((E23*'Scottish Fleet Size'!$U$32)*'2023 ghg conversion factors'!$AB$63))/1000000)</f>
        <v>415.73629487258705</v>
      </c>
      <c r="F34" s="260">
        <f>C34/$C$32</f>
        <v>7.8763406693325252E-2</v>
      </c>
      <c r="G34" s="260">
        <f>D34/$D$32</f>
        <v>7.4955277403800882E-2</v>
      </c>
      <c r="H34" s="261">
        <f>E34/$E$32</f>
        <v>7.0889372910632381E-2</v>
      </c>
      <c r="I34" s="149"/>
      <c r="J34" s="282"/>
      <c r="K34" s="282"/>
    </row>
    <row r="35" spans="2:19" x14ac:dyDescent="0.35">
      <c r="B35" s="278" t="s">
        <v>497</v>
      </c>
      <c r="C35" s="279"/>
      <c r="D35" s="280"/>
      <c r="E35" s="281"/>
      <c r="F35" s="260"/>
      <c r="G35" s="260"/>
      <c r="H35" s="261"/>
      <c r="I35" s="149"/>
      <c r="J35" s="282"/>
      <c r="K35" s="282"/>
    </row>
    <row r="36" spans="2:19" ht="15" customHeight="1" x14ac:dyDescent="0.35">
      <c r="B36" s="278" t="s">
        <v>498</v>
      </c>
      <c r="C36" s="279"/>
      <c r="D36" s="280"/>
      <c r="E36" s="281"/>
      <c r="F36" s="260"/>
      <c r="G36" s="260"/>
      <c r="H36" s="261"/>
      <c r="I36" s="149"/>
      <c r="J36" s="282"/>
      <c r="K36" s="282"/>
    </row>
    <row r="37" spans="2:19" ht="15" customHeight="1" x14ac:dyDescent="0.35">
      <c r="B37" s="278" t="s">
        <v>499</v>
      </c>
      <c r="C37" s="279">
        <f>((((C26*'Scottish Fleet Size'!$U$31)*'2023 ghg conversion factors'!$D$63)+((C26*'Scottish Fleet Size'!$U$30)*'2023 ghg conversion factors'!$H$63)+ ((C26*'Scottish Fleet Size'!$U$32)*'2023 ghg conversion factors'!$AB$63))/1000000)</f>
        <v>1872.5968119559591</v>
      </c>
      <c r="D37" s="280">
        <f>((((D26*'Scottish Fleet Size'!$U$31)*'2023 ghg conversion factors'!$D$63)+((D26*'Scottish Fleet Size'!$U$30)*'2023 ghg conversion factors'!$H$63)+ ((D26*'Scottish Fleet Size'!$U$32)*'2023 ghg conversion factors'!$AB$63))/1000000)</f>
        <v>2598.5002064193295</v>
      </c>
      <c r="E37" s="281">
        <f>((((E26*'Scottish Fleet Size'!$U$31)*'2023 ghg conversion factors'!$D$63)+((E26*'Scottish Fleet Size'!$U$30)*'2023 ghg conversion factors'!$H$63)+ ((E26*'Scottish Fleet Size'!$U$32)*'2023 ghg conversion factors'!$AB$63))/1000000)</f>
        <v>3307.910581007377</v>
      </c>
      <c r="F37" s="260">
        <f>C37/$C$32</f>
        <v>0.58615969730448458</v>
      </c>
      <c r="G37" s="260">
        <f>D37/$D$32</f>
        <v>0.57174480321026788</v>
      </c>
      <c r="H37" s="261">
        <f>E37/$E$32</f>
        <v>0.56404915718009596</v>
      </c>
      <c r="I37" s="247"/>
      <c r="J37" s="283"/>
      <c r="K37" s="283"/>
    </row>
    <row r="38" spans="2:19" ht="15" customHeight="1" x14ac:dyDescent="0.35">
      <c r="B38" s="278" t="s">
        <v>500</v>
      </c>
      <c r="C38" s="279">
        <f>((((C27*'Scottish Fleet Size'!$U$31)*'2023 ghg conversion factors'!$D$63)+((C27*'Scottish Fleet Size'!$U$30)*'2023 ghg conversion factors'!$H$63)+ ((C27*'Scottish Fleet Size'!$U$32)*'2023 ghg conversion factors'!$AB$63))/1000000)</f>
        <v>1070.4658305565133</v>
      </c>
      <c r="D38" s="280">
        <f>((((D27*'Scottish Fleet Size'!$U$31)*'2023 ghg conversion factors'!$D$63)+((D27*'Scottish Fleet Size'!$U$30)*'2023 ghg conversion factors'!$H$63)+ ((D27*'Scottish Fleet Size'!$U$32)*'2023 ghg conversion factors'!$AB$63))/1000000)</f>
        <v>1605.6987458347699</v>
      </c>
      <c r="E38" s="281">
        <f>((((E27*'Scottish Fleet Size'!$U$31)*'2023 ghg conversion factors'!$D$63)+((E27*'Scottish Fleet Size'!$U$30)*'2023 ghg conversion factors'!$H$63)+ ((E27*'Scottish Fleet Size'!$U$32)*'2023 ghg conversion factors'!$AB$63))/1000000)</f>
        <v>2140.9316611130266</v>
      </c>
      <c r="F38" s="260">
        <f>C38/$C$32</f>
        <v>0.33507689600219009</v>
      </c>
      <c r="G38" s="260">
        <f>D38/$D$32</f>
        <v>0.35329991938593114</v>
      </c>
      <c r="H38" s="261">
        <f>E38/$E$32</f>
        <v>0.36506146990927152</v>
      </c>
      <c r="I38" s="71"/>
      <c r="J38" s="283"/>
      <c r="K38" s="283"/>
      <c r="Q38" s="121"/>
      <c r="S38" s="121"/>
    </row>
    <row r="39" spans="2:19" ht="15" customHeight="1" x14ac:dyDescent="0.35">
      <c r="B39" s="284"/>
      <c r="C39" s="285"/>
      <c r="D39" s="286"/>
      <c r="E39" s="287"/>
      <c r="F39" s="288"/>
      <c r="G39" s="288"/>
      <c r="H39" s="289"/>
      <c r="I39" s="71"/>
      <c r="J39" s="283"/>
      <c r="K39" s="283"/>
    </row>
    <row r="40" spans="2:19" ht="21" x14ac:dyDescent="0.45">
      <c r="B40" s="257" t="s">
        <v>544</v>
      </c>
      <c r="C40" s="290"/>
      <c r="D40" s="280"/>
      <c r="E40" s="291"/>
      <c r="F40" s="260"/>
      <c r="G40" s="260"/>
      <c r="H40" s="261"/>
      <c r="I40" s="71"/>
      <c r="J40" s="247"/>
      <c r="K40" s="247"/>
    </row>
    <row r="41" spans="2:19" ht="15" customHeight="1" x14ac:dyDescent="0.35">
      <c r="B41" s="278" t="s">
        <v>36</v>
      </c>
      <c r="C41" s="279">
        <f>(((('Tatis Tables (2021)'!$Q$63*'Scottish Fleet Size'!$U$30)*'Cold Start Emissions'!$L$13)+(('Tatis Tables (2021)'!$Q$63*'Scottish Fleet Size'!$U$31)*'Cold Start Emissions'!$L$14)+('Tatis Tables (2021)'!$Q$63*'Scottish Fleet Size'!$U$32)*0)/1000000)+'Dashboard calculations'!C32</f>
        <v>7986.028671504263</v>
      </c>
      <c r="D41" s="280">
        <f>(((('Tatis Tables (2021)'!$Q$63*'Scottish Fleet Size'!$U$30)*'Cold Start Emissions'!$L$13)+(('Tatis Tables (2021)'!$Q$63*'Scottish Fleet Size'!$U$31)*'Cold Start Emissions'!$L$14)+('Tatis Tables (2021)'!$Q$63*'Scottish Fleet Size'!$U$32)*0)/1000000)+'Dashboard calculations'!D32</f>
        <v>9336.2018012909539</v>
      </c>
      <c r="E41" s="281">
        <f>(((('Tatis Tables (2021)'!$Q$63*'Scottish Fleet Size'!$U$30)*'Cold Start Emissions'!$L$13)+(('Tatis Tables (2021)'!$Q$63*'Scottish Fleet Size'!$U$31)*'Cold Start Emissions'!$L$14)+('Tatis Tables (2021)'!$Q$63*'Scottish Fleet Size'!$U$32)*0)/1000000)+'Dashboard calculations'!E32</f>
        <v>10655.92012822325</v>
      </c>
      <c r="F41" s="260">
        <f>C41/$C$41</f>
        <v>1</v>
      </c>
      <c r="G41" s="260">
        <f>D41/$D$41</f>
        <v>1</v>
      </c>
      <c r="H41" s="261">
        <f>E41/$E$41</f>
        <v>1</v>
      </c>
      <c r="I41" s="71"/>
      <c r="J41" s="247"/>
      <c r="K41" s="247"/>
    </row>
    <row r="42" spans="2:19" ht="15" customHeight="1" x14ac:dyDescent="0.35">
      <c r="B42" s="278" t="s">
        <v>37</v>
      </c>
      <c r="C42" s="279">
        <f>((((SUM('Tatis Tables (2021)'!$Q$64:$Q$65)*'Scottish Fleet Size'!$U$30)*'Cold Start Emissions'!$L$13)+((SUM('Tatis Tables (2021)'!$Q$64:$Q$65)*'Scottish Fleet Size'!$U$31)*'Cold Start Emissions'!$L$14)+(SUM('Tatis Tables (2021)'!$Q$64:$Q$65)*'Scottish Fleet Size'!$U$32)*0)/1000000)+'Dashboard calculations'!C33</f>
        <v>927.40836920104073</v>
      </c>
      <c r="D42" s="280">
        <f>((((SUM('Tatis Tables (2021)'!$Q$64:$Q$65)*'Scottish Fleet Size'!$U$30)*'Cold Start Emissions'!$L$13)+((SUM('Tatis Tables (2021)'!$Q$64:$Q$65)*'Scottish Fleet Size'!$U$31)*'Cold Start Emissions'!$L$14)+(SUM('Tatis Tables (2021)'!$Q$64:$Q$65)*'Scottish Fleet Size'!$U$32)*0)/1000000)+'Dashboard calculations'!D33</f>
        <v>952.79570075672279</v>
      </c>
      <c r="E42" s="281">
        <f>((((SUM('Tatis Tables (2021)'!$Q$64:$Q$65)*'Scottish Fleet Size'!$U$30)*'Cold Start Emissions'!$L$13)+((SUM('Tatis Tables (2021)'!$Q$64:$Q$65)*'Scottish Fleet Size'!$U$31)*'Cold Start Emissions'!$L$14)+(SUM('Tatis Tables (2021)'!$Q$64:$Q$65)*'Scottish Fleet Size'!$U$32)*0)/1000000)+'Dashboard calculations'!E33</f>
        <v>972.08607473407176</v>
      </c>
      <c r="F42" s="260">
        <f>C42/$C$41</f>
        <v>0.11612885544854329</v>
      </c>
      <c r="G42" s="260">
        <f>D42/$D$41</f>
        <v>0.10205388883356997</v>
      </c>
      <c r="H42" s="261">
        <f>E42/$E$41</f>
        <v>9.1224977574616617E-2</v>
      </c>
      <c r="I42" s="71"/>
      <c r="J42" s="247"/>
      <c r="K42" s="247"/>
    </row>
    <row r="43" spans="2:19" ht="15" customHeight="1" x14ac:dyDescent="0.35">
      <c r="B43" s="278" t="s">
        <v>38</v>
      </c>
      <c r="C43" s="279">
        <f>((((SUM('Tatis Tables (2021)'!$Q$64:$Q$67)*'Scottish Fleet Size'!$U$30)*'Cold Start Emissions'!$L$13)+((SUM('Tatis Tables (2021)'!$Q$64:$Q$67)*'Scottish Fleet Size'!$U$31)*'Cold Start Emissions'!$L$14)+((SUM('Tatis Tables (2021)'!$Q$64:$Q$67)*'Scottish Fleet Size'!$U$32)*0))/1000000)+'Dashboard calculations'!C34</f>
        <v>2270.7526631932446</v>
      </c>
      <c r="D43" s="280">
        <f>((((SUM('Tatis Tables (2021)'!$Q$64:$Q$67)*'Scottish Fleet Size'!$U$30)*'Cold Start Emissions'!$L$13)+((SUM('Tatis Tables (2021)'!$Q$64:$Q$67)*'Scottish Fleet Size'!$U$31)*'Cold Start Emissions'!$L$14)+((SUM('Tatis Tables (2021)'!$Q$64:$Q$67)*'Scottish Fleet Size'!$U$32)*0))/1000000)+'Dashboard calculations'!D34</f>
        <v>2359.7894832383076</v>
      </c>
      <c r="E43" s="281">
        <f>((((SUM('Tatis Tables (2021)'!$Q$64:$Q$67)*'Scottish Fleet Size'!$U$30)*'Cold Start Emissions'!$L$13)+((SUM('Tatis Tables (2021)'!$Q$64:$Q$67)*'Scottish Fleet Size'!$U$31)*'Cold Start Emissions'!$L$14)+((SUM('Tatis Tables (2021)'!$Q$64:$Q$67)*'Scottish Fleet Size'!$U$32)*0))/1000000)+'Dashboard calculations'!E34</f>
        <v>2434.8645203042984</v>
      </c>
      <c r="F43" s="260">
        <f t="shared" ref="F43" si="2">C43/$C$41</f>
        <v>0.28434065999484093</v>
      </c>
      <c r="G43" s="260">
        <f t="shared" ref="G43" si="3">D43/$D$41</f>
        <v>0.2527569062305412</v>
      </c>
      <c r="H43" s="261">
        <f t="shared" ref="H43:H46" si="4">E43/$E$41</f>
        <v>0.22849875853098042</v>
      </c>
      <c r="I43" s="71"/>
      <c r="J43" s="71"/>
      <c r="K43" s="247"/>
    </row>
    <row r="44" spans="2:19" ht="15" customHeight="1" x14ac:dyDescent="0.35">
      <c r="B44" s="278" t="s">
        <v>497</v>
      </c>
      <c r="C44" s="279"/>
      <c r="D44" s="280"/>
      <c r="E44" s="281"/>
      <c r="F44" s="260"/>
      <c r="G44" s="260"/>
      <c r="H44" s="261"/>
      <c r="I44" s="71"/>
      <c r="J44" s="264"/>
      <c r="K44" s="247"/>
    </row>
    <row r="45" spans="2:19" ht="15" customHeight="1" x14ac:dyDescent="0.35">
      <c r="B45" s="278" t="s">
        <v>498</v>
      </c>
      <c r="C45" s="279"/>
      <c r="D45" s="280"/>
      <c r="E45" s="281"/>
      <c r="F45" s="260"/>
      <c r="G45" s="260"/>
      <c r="H45" s="261"/>
      <c r="I45" s="71"/>
      <c r="J45" s="292"/>
      <c r="K45" s="247"/>
    </row>
    <row r="46" spans="2:19" ht="15" customHeight="1" x14ac:dyDescent="0.35">
      <c r="B46" s="278" t="s">
        <v>499</v>
      </c>
      <c r="C46" s="279">
        <f>((((SUM('Tatis Tables (2021)'!$Q$68:$Q$71)*'Scottish Fleet Size'!$U$30)*'Cold Start Emissions'!$L$13)+((SUM('Tatis Tables (2021)'!$Q$68:$Q$71)*'Scottish Fleet Size'!$U$31)*'Cold Start Emissions'!$L$14)+(SUM('Tatis Tables (2021)'!$Q$68:$Q$71)*0.02)*0)/1000000)+'Dashboard calculations'!C37</f>
        <v>4257.78801588652</v>
      </c>
      <c r="D46" s="280">
        <f>((((SUM('Tatis Tables (2021)'!$Q$68:$Q$71)*'Scottish Fleet Size'!$U$30)*'Cold Start Emissions'!$L$13)+((SUM('Tatis Tables (2021)'!$Q$68:$Q$71)*'Scottish Fleet Size'!$U$31)*'Cold Start Emissions'!$L$14)+(SUM('Tatis Tables (2021)'!$Q$68:$Q$71)*0.02)*0)/1000000)+'Dashboard calculations'!D37</f>
        <v>4983.6914103498912</v>
      </c>
      <c r="E46" s="281">
        <f>((((SUM('Tatis Tables (2021)'!$Q$68:$Q$71)*'Scottish Fleet Size'!$U$30)*'Cold Start Emissions'!$L$13)+((SUM('Tatis Tables (2021)'!$Q$68:$Q$71)*'Scottish Fleet Size'!$U$31)*'Cold Start Emissions'!$L$14)+(SUM('Tatis Tables (2021)'!$Q$68:$Q$71)*0.02)*0)/1000000)+'Dashboard calculations'!E37</f>
        <v>5693.1017849379386</v>
      </c>
      <c r="F46" s="260">
        <f>C46/$C$41</f>
        <v>0.53315461176331025</v>
      </c>
      <c r="G46" s="260">
        <f>D46/$D$41</f>
        <v>0.53380288005993792</v>
      </c>
      <c r="H46" s="261">
        <f t="shared" si="4"/>
        <v>0.5342665594742213</v>
      </c>
      <c r="I46" s="71"/>
      <c r="J46" s="247"/>
      <c r="K46" s="247"/>
    </row>
    <row r="47" spans="2:19" ht="18.600000000000001" thickBot="1" x14ac:dyDescent="0.4">
      <c r="B47" s="293" t="s">
        <v>500</v>
      </c>
      <c r="C47" s="294">
        <f>((((SUM('Tatis Tables (2021)'!$Q$72)*'Scottish Fleet Size'!$U$30)*'Cold Start Emissions'!$L$13)+((SUM('Tatis Tables (2021)'!$Q$72)*'Scottish Fleet Size'!$U$31)*'Cold Start Emissions'!$L$14)+((SUM('Tatis Tables (2021)'!$Q$72)*'Scottish Fleet Size'!$U$32)*0))/1000000)+'Dashboard calculations'!C38</f>
        <v>1457.4879924244979</v>
      </c>
      <c r="D47" s="295">
        <f>((((SUM('Tatis Tables (2021)'!$Q$72)*'Scottish Fleet Size'!$U$30)*'Cold Start Emissions'!$L$13)+((SUM('Tatis Tables (2021)'!$Q$72)*'Scottish Fleet Size'!$U$31)*'Cold Start Emissions'!$L$14)+((SUM('Tatis Tables (2021)'!$Q$72)*'Scottish Fleet Size'!$U$32)*0))/1000000)+'Dashboard calculations'!D38</f>
        <v>1992.7209077027544</v>
      </c>
      <c r="E47" s="296">
        <f>((((SUM('Tatis Tables (2021)'!$Q$72)*'Scottish Fleet Size'!$U$30)*'Cold Start Emissions'!$L$13)+((SUM('Tatis Tables (2021)'!$Q$72)*'Scottish Fleet Size'!$U$31)*'Cold Start Emissions'!$L$14)+((SUM('Tatis Tables (2021)'!$Q$72)*'Scottish Fleet Size'!$U$32)*0))/1000000)+'Dashboard calculations'!E38</f>
        <v>2527.9538229810114</v>
      </c>
      <c r="F47" s="268">
        <f>C47/$C$41</f>
        <v>0.18250472824184874</v>
      </c>
      <c r="G47" s="268">
        <f>D47/$D$41</f>
        <v>0.21344021370952082</v>
      </c>
      <c r="H47" s="269">
        <f>E47/$E$41</f>
        <v>0.23723468199479816</v>
      </c>
      <c r="I47" s="71"/>
      <c r="J47" s="247"/>
      <c r="K47" s="247"/>
    </row>
    <row r="48" spans="2:19" x14ac:dyDescent="0.35">
      <c r="B48" s="270"/>
      <c r="C48" s="177"/>
      <c r="D48" s="177"/>
      <c r="E48" s="177"/>
      <c r="F48" s="297"/>
      <c r="G48" s="298"/>
      <c r="H48" s="298"/>
      <c r="I48" s="71"/>
      <c r="J48" s="247"/>
      <c r="K48" s="247"/>
      <c r="Q48" s="121"/>
      <c r="S48" s="121"/>
    </row>
    <row r="49" spans="2:19" x14ac:dyDescent="0.35">
      <c r="B49" s="270"/>
      <c r="C49" s="177"/>
      <c r="D49" s="177"/>
      <c r="E49" s="177"/>
      <c r="F49" s="298"/>
      <c r="G49" s="298"/>
      <c r="H49" s="298"/>
      <c r="I49" s="71"/>
      <c r="J49" s="264"/>
      <c r="K49" s="247"/>
      <c r="Q49" s="121"/>
      <c r="S49" s="121"/>
    </row>
    <row r="50" spans="2:19" x14ac:dyDescent="0.35">
      <c r="B50" s="247"/>
      <c r="C50" s="247"/>
      <c r="D50" s="247"/>
      <c r="E50" s="247"/>
      <c r="F50" s="247"/>
      <c r="G50" s="247"/>
      <c r="H50" s="247"/>
      <c r="I50" s="71"/>
      <c r="J50" s="247"/>
      <c r="K50" s="247"/>
      <c r="Q50" s="121"/>
      <c r="S50" s="121"/>
    </row>
    <row r="51" spans="2:19" x14ac:dyDescent="0.35">
      <c r="B51" s="247"/>
      <c r="C51" s="247"/>
      <c r="D51" s="247"/>
      <c r="E51" s="247"/>
      <c r="F51" s="247"/>
      <c r="G51" s="247"/>
      <c r="H51" s="247"/>
      <c r="I51" s="71"/>
      <c r="J51" s="247"/>
      <c r="K51" s="247"/>
      <c r="Q51" s="121"/>
      <c r="S51" s="121"/>
    </row>
    <row r="52" spans="2:19" x14ac:dyDescent="0.35">
      <c r="B52" s="247"/>
      <c r="C52" s="247"/>
      <c r="D52" s="247"/>
      <c r="E52" s="247"/>
      <c r="F52" s="247"/>
      <c r="G52" s="247"/>
      <c r="H52" s="247"/>
      <c r="I52" s="71"/>
      <c r="J52" s="247"/>
      <c r="K52" s="247"/>
      <c r="Q52" s="121"/>
      <c r="S52" s="121"/>
    </row>
    <row r="53" spans="2:19" x14ac:dyDescent="0.35">
      <c r="B53" s="247"/>
      <c r="C53" s="247"/>
      <c r="D53" s="247"/>
      <c r="E53" s="247"/>
      <c r="F53" s="247"/>
      <c r="G53" s="247"/>
      <c r="H53" s="247"/>
      <c r="I53" s="71"/>
      <c r="J53" s="247"/>
      <c r="K53" s="247"/>
      <c r="S53" s="121"/>
    </row>
    <row r="54" spans="2:19" x14ac:dyDescent="0.35">
      <c r="B54" s="247"/>
      <c r="C54" s="247"/>
      <c r="D54" s="247"/>
      <c r="E54" s="247"/>
      <c r="F54" s="247"/>
      <c r="G54" s="247"/>
      <c r="H54" s="247"/>
      <c r="I54" s="71"/>
      <c r="J54" s="247"/>
      <c r="K54" s="247"/>
    </row>
    <row r="55" spans="2:19" x14ac:dyDescent="0.35">
      <c r="B55" s="247"/>
      <c r="C55" s="247"/>
      <c r="D55" s="247"/>
      <c r="E55" s="247"/>
      <c r="F55" s="247"/>
      <c r="G55" s="247"/>
      <c r="H55" s="247"/>
      <c r="I55" s="71"/>
      <c r="J55" s="264"/>
      <c r="K55" s="247"/>
    </row>
    <row r="56" spans="2:19" x14ac:dyDescent="0.35">
      <c r="B56" s="247"/>
      <c r="C56" s="247"/>
      <c r="D56" s="247"/>
      <c r="E56" s="247"/>
      <c r="F56" s="247"/>
      <c r="G56" s="247"/>
      <c r="H56" s="247"/>
      <c r="I56" s="71"/>
      <c r="J56" s="247"/>
      <c r="K56" s="247"/>
    </row>
    <row r="57" spans="2:19" x14ac:dyDescent="0.35">
      <c r="B57" s="247"/>
      <c r="C57" s="247"/>
      <c r="D57" s="247"/>
      <c r="E57" s="247"/>
      <c r="F57" s="247"/>
      <c r="G57" s="247"/>
      <c r="H57" s="247"/>
      <c r="I57" s="71"/>
      <c r="J57" s="247"/>
      <c r="K57" s="247"/>
    </row>
    <row r="58" spans="2:19" x14ac:dyDescent="0.35">
      <c r="B58" s="247"/>
      <c r="C58" s="247"/>
      <c r="D58" s="247"/>
      <c r="E58" s="247"/>
      <c r="F58" s="247"/>
      <c r="G58" s="247"/>
      <c r="H58" s="247"/>
      <c r="I58" s="71"/>
      <c r="J58" s="247"/>
      <c r="K58" s="247"/>
    </row>
    <row r="59" spans="2:19" x14ac:dyDescent="0.35">
      <c r="B59" s="247"/>
      <c r="C59" s="247"/>
      <c r="D59" s="247"/>
      <c r="E59" s="247"/>
      <c r="F59" s="247"/>
      <c r="G59" s="247"/>
      <c r="H59" s="247"/>
      <c r="I59" s="71"/>
      <c r="J59" s="247"/>
      <c r="K59" s="247"/>
    </row>
    <row r="60" spans="2:19" x14ac:dyDescent="0.35">
      <c r="B60" s="247"/>
      <c r="C60" s="247"/>
      <c r="D60" s="247"/>
      <c r="E60" s="247"/>
      <c r="F60" s="247"/>
      <c r="G60" s="247"/>
      <c r="H60" s="247"/>
      <c r="I60" s="71"/>
      <c r="J60" s="247"/>
      <c r="K60" s="247"/>
    </row>
    <row r="61" spans="2:19" x14ac:dyDescent="0.35">
      <c r="B61" s="299"/>
      <c r="C61" s="247"/>
      <c r="D61" s="247"/>
      <c r="E61" s="247"/>
      <c r="F61" s="247"/>
      <c r="G61" s="247"/>
      <c r="H61" s="247"/>
      <c r="I61" s="71"/>
      <c r="J61" s="247"/>
      <c r="K61" s="247"/>
    </row>
    <row r="62" spans="2:19" x14ac:dyDescent="0.35">
      <c r="B62" s="299"/>
      <c r="C62" s="247"/>
      <c r="D62" s="247"/>
      <c r="E62" s="247"/>
      <c r="F62" s="247"/>
      <c r="G62" s="247"/>
      <c r="H62" s="247"/>
      <c r="I62" s="71"/>
      <c r="J62" s="247"/>
      <c r="K62" s="247"/>
    </row>
    <row r="63" spans="2:19" x14ac:dyDescent="0.35">
      <c r="B63" s="299"/>
      <c r="C63" s="247"/>
      <c r="D63" s="247"/>
      <c r="E63" s="247"/>
      <c r="F63" s="247"/>
      <c r="G63" s="247"/>
      <c r="H63" s="247"/>
      <c r="I63" s="71"/>
      <c r="J63" s="247"/>
      <c r="K63" s="247"/>
    </row>
    <row r="64" spans="2:19" x14ac:dyDescent="0.35">
      <c r="B64" s="299"/>
      <c r="C64" s="247"/>
      <c r="D64" s="247"/>
      <c r="E64" s="247"/>
      <c r="F64" s="247"/>
      <c r="G64" s="247"/>
      <c r="H64" s="247"/>
      <c r="I64" s="71"/>
      <c r="J64" s="247"/>
      <c r="K64" s="247"/>
    </row>
    <row r="65" spans="2:11" x14ac:dyDescent="0.35">
      <c r="B65" s="247"/>
      <c r="C65" s="247"/>
      <c r="D65" s="247"/>
      <c r="E65" s="247"/>
      <c r="F65" s="247"/>
      <c r="G65" s="247"/>
      <c r="H65" s="247"/>
      <c r="I65" s="247"/>
      <c r="J65" s="247"/>
      <c r="K65" s="247"/>
    </row>
    <row r="66" spans="2:11" x14ac:dyDescent="0.35">
      <c r="B66" s="247"/>
      <c r="C66" s="247"/>
      <c r="D66" s="247"/>
      <c r="E66" s="247"/>
      <c r="F66" s="247"/>
      <c r="G66" s="247"/>
      <c r="H66" s="247"/>
      <c r="I66" s="247"/>
      <c r="J66" s="247"/>
      <c r="K66" s="247"/>
    </row>
    <row r="67" spans="2:11" x14ac:dyDescent="0.35">
      <c r="B67" s="247"/>
      <c r="C67" s="247"/>
      <c r="D67" s="247"/>
      <c r="E67" s="247"/>
      <c r="F67" s="247"/>
      <c r="G67" s="247"/>
      <c r="H67" s="247"/>
      <c r="I67" s="247"/>
      <c r="J67" s="247"/>
      <c r="K67" s="247"/>
    </row>
    <row r="68" spans="2:11" x14ac:dyDescent="0.35">
      <c r="B68" s="299"/>
      <c r="C68" s="247"/>
      <c r="D68" s="247"/>
      <c r="E68" s="247"/>
      <c r="F68" s="247"/>
      <c r="G68" s="247"/>
      <c r="H68" s="247"/>
      <c r="I68" s="247"/>
      <c r="J68" s="247"/>
      <c r="K68" s="247"/>
    </row>
    <row r="69" spans="2:11" x14ac:dyDescent="0.35">
      <c r="B69" s="299"/>
      <c r="C69" s="247"/>
      <c r="D69" s="247"/>
      <c r="E69" s="247"/>
      <c r="F69" s="247"/>
      <c r="G69" s="247"/>
      <c r="H69" s="247"/>
      <c r="I69" s="247"/>
      <c r="J69" s="247"/>
      <c r="K69" s="247"/>
    </row>
    <row r="70" spans="2:11" x14ac:dyDescent="0.35">
      <c r="B70" s="299"/>
      <c r="C70" s="247"/>
      <c r="D70" s="247"/>
      <c r="E70" s="247"/>
      <c r="F70" s="247"/>
      <c r="G70" s="247"/>
      <c r="H70" s="247"/>
      <c r="I70" s="247"/>
      <c r="J70" s="247"/>
      <c r="K70" s="247"/>
    </row>
    <row r="71" spans="2:11" x14ac:dyDescent="0.35">
      <c r="B71" s="299"/>
      <c r="C71" s="247"/>
      <c r="D71" s="247"/>
      <c r="E71" s="247"/>
      <c r="F71" s="247"/>
      <c r="G71" s="247"/>
      <c r="H71" s="247"/>
      <c r="I71" s="247"/>
      <c r="J71" s="247"/>
      <c r="K71" s="247"/>
    </row>
    <row r="72" spans="2:11" x14ac:dyDescent="0.35">
      <c r="B72" s="299"/>
      <c r="C72" s="247"/>
      <c r="D72" s="247"/>
      <c r="E72" s="247"/>
      <c r="F72" s="247"/>
      <c r="G72" s="247"/>
      <c r="H72" s="247"/>
      <c r="I72" s="247"/>
      <c r="J72" s="247"/>
      <c r="K72" s="247"/>
    </row>
    <row r="73" spans="2:11" x14ac:dyDescent="0.35">
      <c r="B73" s="299"/>
      <c r="C73" s="247"/>
      <c r="D73" s="247"/>
      <c r="E73" s="247"/>
      <c r="F73" s="247"/>
      <c r="G73" s="247"/>
      <c r="H73" s="247"/>
      <c r="I73" s="247"/>
      <c r="J73" s="247"/>
      <c r="K73" s="247"/>
    </row>
    <row r="74" spans="2:11" x14ac:dyDescent="0.35">
      <c r="B74" s="299"/>
      <c r="C74" s="247"/>
      <c r="D74" s="247"/>
      <c r="E74" s="247"/>
      <c r="F74" s="247"/>
      <c r="G74" s="247"/>
      <c r="H74" s="247"/>
      <c r="I74" s="247"/>
      <c r="J74" s="247"/>
      <c r="K74" s="247"/>
    </row>
    <row r="75" spans="2:11" x14ac:dyDescent="0.35">
      <c r="B75" s="247"/>
      <c r="C75" s="247"/>
      <c r="D75" s="247"/>
      <c r="E75" s="149"/>
      <c r="F75" s="247"/>
      <c r="G75" s="247"/>
      <c r="H75" s="247"/>
      <c r="I75" s="247"/>
      <c r="J75" s="247"/>
      <c r="K75" s="247"/>
    </row>
    <row r="76" spans="2:11" x14ac:dyDescent="0.35">
      <c r="B76" s="247"/>
      <c r="C76" s="247"/>
      <c r="D76" s="247"/>
      <c r="E76" s="247"/>
      <c r="F76" s="247"/>
      <c r="G76" s="247"/>
      <c r="H76" s="247"/>
      <c r="I76" s="247"/>
      <c r="J76" s="247"/>
      <c r="K76" s="247"/>
    </row>
    <row r="77" spans="2:11" x14ac:dyDescent="0.35">
      <c r="F77" s="247"/>
      <c r="G77" s="247"/>
      <c r="H77" s="247"/>
      <c r="I77" s="247"/>
      <c r="J77" s="247"/>
      <c r="K77" s="247"/>
    </row>
    <row r="78" spans="2:11" x14ac:dyDescent="0.35">
      <c r="F78" s="247"/>
      <c r="G78" s="247"/>
      <c r="H78" s="247"/>
      <c r="I78" s="247"/>
      <c r="J78" s="247"/>
      <c r="K78" s="247"/>
    </row>
    <row r="79" spans="2:11" x14ac:dyDescent="0.35">
      <c r="F79" s="247"/>
      <c r="G79" s="247"/>
      <c r="H79" s="247"/>
      <c r="I79" s="247"/>
      <c r="J79" s="247"/>
      <c r="K79" s="247"/>
    </row>
    <row r="80" spans="2:11" x14ac:dyDescent="0.35">
      <c r="F80" s="247"/>
      <c r="G80" s="247"/>
      <c r="H80" s="247"/>
      <c r="I80" s="247"/>
      <c r="J80" s="247"/>
      <c r="K80" s="247"/>
    </row>
    <row r="81" spans="4:24" x14ac:dyDescent="0.35">
      <c r="F81" s="247"/>
      <c r="G81" s="247"/>
      <c r="H81" s="247"/>
      <c r="I81" s="247"/>
      <c r="J81" s="247"/>
      <c r="K81" s="247"/>
    </row>
    <row r="82" spans="4:24" x14ac:dyDescent="0.35">
      <c r="F82" s="247"/>
      <c r="G82" s="247"/>
      <c r="H82" s="247"/>
      <c r="I82" s="247"/>
      <c r="J82" s="247"/>
      <c r="K82" s="247"/>
    </row>
    <row r="83" spans="4:24" x14ac:dyDescent="0.35">
      <c r="F83" s="149"/>
      <c r="G83" s="149"/>
      <c r="H83" s="247"/>
      <c r="I83" s="247"/>
      <c r="J83" s="247"/>
      <c r="K83" s="247"/>
    </row>
    <row r="84" spans="4:24" x14ac:dyDescent="0.35">
      <c r="F84" s="247"/>
      <c r="G84" s="247"/>
      <c r="H84" s="247"/>
      <c r="I84" s="247"/>
      <c r="J84" s="247"/>
      <c r="K84" s="247"/>
    </row>
    <row r="86" spans="4:24" x14ac:dyDescent="0.35">
      <c r="D86" s="300"/>
    </row>
    <row r="93" spans="4:24" ht="18.600000000000001" thickBot="1" x14ac:dyDescent="0.4"/>
    <row r="94" spans="4:24" ht="18.600000000000001" thickBot="1" x14ac:dyDescent="0.4">
      <c r="M94" s="586" t="s">
        <v>14</v>
      </c>
      <c r="N94" s="587"/>
      <c r="O94" s="587"/>
      <c r="P94" s="588"/>
      <c r="Q94" s="586" t="s">
        <v>15</v>
      </c>
      <c r="R94" s="587"/>
      <c r="S94" s="587"/>
      <c r="T94" s="588"/>
      <c r="U94" s="586" t="s">
        <v>16</v>
      </c>
      <c r="V94" s="587"/>
      <c r="W94" s="587"/>
      <c r="X94" s="588"/>
    </row>
    <row r="95" spans="4:24" ht="72.599999999999994" thickBot="1" x14ac:dyDescent="0.4">
      <c r="M95" s="301" t="s">
        <v>39</v>
      </c>
      <c r="N95" s="302" t="s">
        <v>40</v>
      </c>
      <c r="O95" s="303" t="s">
        <v>41</v>
      </c>
      <c r="P95" s="304" t="s">
        <v>42</v>
      </c>
      <c r="Q95" s="301" t="s">
        <v>43</v>
      </c>
      <c r="R95" s="302" t="s">
        <v>40</v>
      </c>
      <c r="S95" s="303" t="s">
        <v>44</v>
      </c>
      <c r="T95" s="304" t="s">
        <v>42</v>
      </c>
      <c r="U95" s="301" t="s">
        <v>43</v>
      </c>
      <c r="V95" s="302" t="s">
        <v>40</v>
      </c>
      <c r="W95" s="303" t="s">
        <v>41</v>
      </c>
      <c r="X95" s="304" t="s">
        <v>42</v>
      </c>
    </row>
    <row r="96" spans="4:24" x14ac:dyDescent="0.35">
      <c r="M96" s="305">
        <f>'Tatis Tables (2021)'!$Q$63/'Tatis Tables (2021)'!$X$63</f>
        <v>3.7726561388533222</v>
      </c>
      <c r="N96" s="306">
        <f>'Tatis Tables (2021)'!$Q$63/'Tatis Tables (2021)'!$Q$63</f>
        <v>1</v>
      </c>
      <c r="O96" s="307">
        <f>F21</f>
        <v>1</v>
      </c>
      <c r="P96" s="308">
        <f>F41</f>
        <v>1</v>
      </c>
      <c r="Q96" s="305">
        <f>'Tatis Tables (2021)'!$Q$63/'Tatis Tables (2021)'!$X$63</f>
        <v>3.7726561388533222</v>
      </c>
      <c r="R96" s="306">
        <f>'Tatis Tables (2021)'!$Q$63/'Tatis Tables (2021)'!$Q$63</f>
        <v>1</v>
      </c>
      <c r="S96" s="307">
        <f>G21</f>
        <v>1</v>
      </c>
      <c r="T96" s="308">
        <f>G41</f>
        <v>1</v>
      </c>
      <c r="U96" s="305">
        <f>'Tatis Tables (2021)'!$Q$63/'Tatis Tables (2021)'!$X$63</f>
        <v>3.7726561388533222</v>
      </c>
      <c r="V96" s="306">
        <f>'Tatis Tables (2021)'!$Q$63/'Tatis Tables (2021)'!$Q$63</f>
        <v>1</v>
      </c>
      <c r="W96" s="307">
        <f>H21</f>
        <v>1</v>
      </c>
      <c r="X96" s="308">
        <f>H41</f>
        <v>1</v>
      </c>
    </row>
    <row r="97" spans="13:24" x14ac:dyDescent="0.35">
      <c r="M97" s="305">
        <f>SUM('Tatis Tables (2021)'!$Q$64:$Q$65)/'Tatis Tables (2021)'!$X$63</f>
        <v>0.69426660975956767</v>
      </c>
      <c r="N97" s="309">
        <f>SUM('Tatis Tables (2021)'!$Q$64:$Q$65)/'Tatis Tables (2021)'!$Q$63</f>
        <v>0.18402594464137567</v>
      </c>
      <c r="O97" s="310">
        <f>F22</f>
        <v>1.429786568375358E-2</v>
      </c>
      <c r="P97" s="308">
        <f>F42</f>
        <v>0.11612885544854329</v>
      </c>
      <c r="Q97" s="305">
        <f>SUM('Tatis Tables (2021)'!$Q$64:$Q$65)/'Tatis Tables (2021)'!$X$63</f>
        <v>0.69426660975956767</v>
      </c>
      <c r="R97" s="309">
        <f>SUM('Tatis Tables (2021)'!$Q$64:$Q$65)/'Tatis Tables (2021)'!$Q$63</f>
        <v>0.18402594464137567</v>
      </c>
      <c r="S97" s="310">
        <f>G22</f>
        <v>1.5636242930805917E-2</v>
      </c>
      <c r="T97" s="308">
        <f>G42</f>
        <v>0.10205388883356997</v>
      </c>
      <c r="U97" s="305">
        <f>SUM('Tatis Tables (2021)'!$Q$64:$Q$65)/'Tatis Tables (2021)'!$X$63</f>
        <v>0.69426660975956767</v>
      </c>
      <c r="V97" s="309">
        <f>SUM('Tatis Tables (2021)'!$Q$64:$Q$65)/'Tatis Tables (2021)'!$Q$63</f>
        <v>0.18402594464137567</v>
      </c>
      <c r="W97" s="310">
        <f>H22</f>
        <v>1.5406889299625645E-2</v>
      </c>
      <c r="X97" s="308">
        <f>H42</f>
        <v>9.1224977574616617E-2</v>
      </c>
    </row>
    <row r="98" spans="13:24" x14ac:dyDescent="0.35">
      <c r="M98" s="305">
        <f>SUM('Tatis Tables (2021)'!$Q$64:$Q$67)/'Tatis Tables (2021)'!$X$63</f>
        <v>1.5898420827998296</v>
      </c>
      <c r="N98" s="309">
        <f>SUM('Tatis Tables (2021)'!$Q$64:$Q$67)/'Tatis Tables (2021)'!$Q$63</f>
        <v>0.42141187118183882</v>
      </c>
      <c r="O98" s="310">
        <f>F23</f>
        <v>7.8763406693325266E-2</v>
      </c>
      <c r="P98" s="308">
        <f>F43</f>
        <v>0.28434065999484093</v>
      </c>
      <c r="Q98" s="305">
        <f>SUM('Tatis Tables (2021)'!$Q$64:$Q$67)/'Tatis Tables (2021)'!$X$63</f>
        <v>1.5898420827998296</v>
      </c>
      <c r="R98" s="309">
        <f>SUM('Tatis Tables (2021)'!$Q$64:$Q$67)/'Tatis Tables (2021)'!$Q$63</f>
        <v>0.42141187118183882</v>
      </c>
      <c r="S98" s="310">
        <f>G23</f>
        <v>7.4955277403800896E-2</v>
      </c>
      <c r="T98" s="308">
        <f>G43</f>
        <v>0.2527569062305412</v>
      </c>
      <c r="U98" s="305">
        <f>SUM('Tatis Tables (2021)'!$Q$64:$Q$67)/'Tatis Tables (2021)'!$X$63</f>
        <v>1.5898420827998296</v>
      </c>
      <c r="V98" s="309">
        <f>SUM('Tatis Tables (2021)'!$Q$64:$Q$67)/'Tatis Tables (2021)'!$Q$63</f>
        <v>0.42141187118183882</v>
      </c>
      <c r="W98" s="310">
        <f>H23</f>
        <v>7.0889372910632367E-2</v>
      </c>
      <c r="X98" s="308">
        <f>H43</f>
        <v>0.22849875853098042</v>
      </c>
    </row>
    <row r="99" spans="13:24" x14ac:dyDescent="0.35">
      <c r="M99" s="305"/>
      <c r="N99" s="309"/>
      <c r="O99" s="310"/>
      <c r="P99" s="308"/>
      <c r="Q99" s="305"/>
      <c r="R99" s="309"/>
      <c r="S99" s="310"/>
      <c r="T99" s="308"/>
      <c r="U99" s="305"/>
      <c r="V99" s="309"/>
      <c r="W99" s="310"/>
      <c r="X99" s="308"/>
    </row>
    <row r="100" spans="13:24" x14ac:dyDescent="0.35">
      <c r="M100" s="305"/>
      <c r="N100" s="309"/>
      <c r="O100" s="310"/>
      <c r="P100" s="308"/>
      <c r="Q100" s="305"/>
      <c r="R100" s="309"/>
      <c r="S100" s="310"/>
      <c r="T100" s="308"/>
      <c r="U100" s="305"/>
      <c r="V100" s="309"/>
      <c r="W100" s="310"/>
      <c r="X100" s="308"/>
    </row>
    <row r="101" spans="13:24" x14ac:dyDescent="0.35">
      <c r="M101" s="305">
        <f>SUM('Tatis Tables (2021)'!$Q$68:$Q$71)/'Tatis Tables (2021)'!$X$63</f>
        <v>1.8780765400483712</v>
      </c>
      <c r="N101" s="309">
        <f>SUM('Tatis Tables (2021)'!$Q$68:$Q$71)/'Tatis Tables (2021)'!$Q$63</f>
        <v>0.49781280639565578</v>
      </c>
      <c r="O101" s="310">
        <f>F26</f>
        <v>0.58615969730448458</v>
      </c>
      <c r="P101" s="308">
        <f>F46</f>
        <v>0.53315461176331025</v>
      </c>
      <c r="Q101" s="305">
        <f>SUM('Tatis Tables (2021)'!$Q$68:$Q$71)/'Tatis Tables (2021)'!$X$63</f>
        <v>1.8780765400483712</v>
      </c>
      <c r="R101" s="309">
        <f>SUM('Tatis Tables (2021)'!$Q$68:$Q$71)/'Tatis Tables (2021)'!$Q$63</f>
        <v>0.49781280639565578</v>
      </c>
      <c r="S101" s="310">
        <f>G26</f>
        <v>0.5717448032102681</v>
      </c>
      <c r="T101" s="308">
        <f>G46</f>
        <v>0.53380288005993792</v>
      </c>
      <c r="U101" s="305">
        <f>SUM('Tatis Tables (2021)'!$Q$68:$Q$71)/'Tatis Tables (2021)'!$X$63</f>
        <v>1.8780765400483712</v>
      </c>
      <c r="V101" s="309">
        <f>SUM('Tatis Tables (2021)'!$Q$68:$Q$71)/'Tatis Tables (2021)'!$Q$63</f>
        <v>0.49781280639565578</v>
      </c>
      <c r="W101" s="310">
        <f>H26</f>
        <v>0.56404915718009607</v>
      </c>
      <c r="X101" s="308">
        <f>H46</f>
        <v>0.5342665594742213</v>
      </c>
    </row>
    <row r="102" spans="13:24" ht="18.600000000000001" thickBot="1" x14ac:dyDescent="0.4">
      <c r="M102" s="311">
        <f>SUM('Tatis Tables (2021)'!$Q$72)/'Tatis Tables (2021)'!$X$63</f>
        <v>0.30473751600512178</v>
      </c>
      <c r="N102" s="312">
        <f>SUM('Tatis Tables (2021)'!$Q$72)/'Tatis Tables (2021)'!$Q$63</f>
        <v>8.0775322422505499E-2</v>
      </c>
      <c r="O102" s="313">
        <f>F27</f>
        <v>0.33507689600219004</v>
      </c>
      <c r="P102" s="314">
        <f>F47</f>
        <v>0.18250472824184874</v>
      </c>
      <c r="Q102" s="311">
        <f>SUM('Tatis Tables (2021)'!$Q$72)/'Tatis Tables (2021)'!$X$63</f>
        <v>0.30473751600512178</v>
      </c>
      <c r="R102" s="312">
        <f>SUM('Tatis Tables (2021)'!$Q$72)/'Tatis Tables (2021)'!$Q$63</f>
        <v>8.0775322422505499E-2</v>
      </c>
      <c r="S102" s="313">
        <f>G27</f>
        <v>0.35329991938593119</v>
      </c>
      <c r="T102" s="314">
        <f>G47</f>
        <v>0.21344021370952082</v>
      </c>
      <c r="U102" s="311">
        <f>SUM('Tatis Tables (2021)'!$Q$72)/'Tatis Tables (2021)'!$X$63</f>
        <v>0.30473751600512178</v>
      </c>
      <c r="V102" s="312">
        <f>SUM('Tatis Tables (2021)'!$Q$72)/'Tatis Tables (2021)'!$Q$63</f>
        <v>8.0775322422505499E-2</v>
      </c>
      <c r="W102" s="313">
        <f>H27</f>
        <v>0.36506146990927146</v>
      </c>
      <c r="X102" s="314">
        <f>H47</f>
        <v>0.23723468199479816</v>
      </c>
    </row>
  </sheetData>
  <sheetProtection algorithmName="SHA-512" hashValue="7qXhq3/EuPl3YAByhLZAFRK2QWVLO0zrD8Wi4yFyt6JoW9/gnLNilrfv5EISLpBZ26ICEOwW3QM4igHP8z8gqg==" saltValue="KSijp30t/Q8nlnHRVwXSIw==" spinCount="100000" sheet="1" objects="1" scenarios="1"/>
  <mergeCells count="10">
    <mergeCell ref="C30:E30"/>
    <mergeCell ref="F8:H8"/>
    <mergeCell ref="C8:E8"/>
    <mergeCell ref="C19:E19"/>
    <mergeCell ref="F19:H19"/>
    <mergeCell ref="I19:K19"/>
    <mergeCell ref="U94:X94"/>
    <mergeCell ref="Q94:T94"/>
    <mergeCell ref="M94:P94"/>
    <mergeCell ref="F30:H30"/>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DE2BB-043A-44AC-BCBB-EB390E284772}">
  <sheetPr>
    <tabColor theme="5" tint="0.59999389629810485"/>
  </sheetPr>
  <dimension ref="A2:AO104"/>
  <sheetViews>
    <sheetView showGridLines="0" zoomScaleNormal="100" workbookViewId="0">
      <selection activeCell="C60" sqref="C60"/>
    </sheetView>
  </sheetViews>
  <sheetFormatPr defaultColWidth="8.77734375" defaultRowHeight="18" x14ac:dyDescent="0.35"/>
  <cols>
    <col min="1" max="1" width="8.77734375" style="67"/>
    <col min="2" max="2" width="13.77734375" style="67" customWidth="1"/>
    <col min="3" max="3" width="27.21875" style="67" customWidth="1"/>
    <col min="4" max="4" width="15" style="67" customWidth="1"/>
    <col min="5" max="5" width="17.88671875" style="67" customWidth="1"/>
    <col min="6" max="6" width="19.77734375" style="67" customWidth="1"/>
    <col min="7" max="7" width="17.44140625" style="67" customWidth="1"/>
    <col min="8" max="8" width="18.88671875" style="67" bestFit="1" customWidth="1"/>
    <col min="9" max="9" width="16.44140625" style="67" customWidth="1"/>
    <col min="10" max="11" width="13.44140625" style="67" bestFit="1" customWidth="1"/>
    <col min="12" max="12" width="23.21875" style="67" customWidth="1"/>
    <col min="13" max="13" width="12.77734375" style="67" customWidth="1"/>
    <col min="14" max="14" width="22.77734375" style="67" customWidth="1"/>
    <col min="15" max="15" width="36" style="67" customWidth="1"/>
    <col min="16" max="16" width="25" style="67" customWidth="1"/>
    <col min="17" max="17" width="24.21875" style="67" customWidth="1"/>
    <col min="18" max="18" width="20.21875" style="67" customWidth="1"/>
    <col min="19" max="19" width="22.21875" style="67" customWidth="1"/>
    <col min="20" max="20" width="20.21875" style="67" customWidth="1"/>
    <col min="21" max="21" width="22.21875" style="67" customWidth="1"/>
    <col min="22" max="22" width="17.44140625" style="67" bestFit="1" customWidth="1"/>
    <col min="23" max="23" width="28.44140625" style="67" customWidth="1"/>
    <col min="24" max="24" width="18.88671875" style="67" bestFit="1" customWidth="1"/>
    <col min="25" max="25" width="23.44140625" style="67" customWidth="1"/>
    <col min="26" max="26" width="15.77734375" style="69" bestFit="1" customWidth="1"/>
    <col min="27" max="27" width="15.44140625" style="69" customWidth="1"/>
    <col min="28" max="28" width="13" style="69" customWidth="1"/>
    <col min="29" max="29" width="24.21875" style="69" customWidth="1"/>
    <col min="30" max="30" width="16" style="69" bestFit="1" customWidth="1"/>
    <col min="31" max="31" width="14.21875" style="69" customWidth="1"/>
    <col min="32" max="32" width="15.21875" style="69" bestFit="1" customWidth="1"/>
    <col min="33" max="33" width="17.44140625" style="69" bestFit="1" customWidth="1"/>
    <col min="34" max="34" width="17" style="69" bestFit="1" customWidth="1"/>
    <col min="35" max="35" width="18.88671875" style="67" bestFit="1" customWidth="1"/>
    <col min="36" max="36" width="16" style="67" bestFit="1" customWidth="1"/>
    <col min="37" max="40" width="8.77734375" style="67"/>
    <col min="41" max="41" width="26.5546875" style="67" customWidth="1"/>
    <col min="42" max="16384" width="8.77734375" style="67"/>
  </cols>
  <sheetData>
    <row r="2" spans="3:34" x14ac:dyDescent="0.35">
      <c r="D2" s="602" t="s">
        <v>57</v>
      </c>
      <c r="E2" s="603"/>
      <c r="F2" s="604" t="s">
        <v>58</v>
      </c>
      <c r="G2" s="605"/>
      <c r="H2" s="605"/>
      <c r="I2" s="605"/>
      <c r="J2" s="605"/>
      <c r="K2" s="605"/>
      <c r="L2" s="605"/>
      <c r="M2" s="605"/>
      <c r="N2" s="605"/>
      <c r="O2" s="606"/>
    </row>
    <row r="3" spans="3:34" x14ac:dyDescent="0.35">
      <c r="D3" s="628" t="s">
        <v>59</v>
      </c>
      <c r="E3" s="629"/>
      <c r="F3" s="619" t="s">
        <v>485</v>
      </c>
      <c r="G3" s="620"/>
      <c r="H3" s="620"/>
      <c r="I3" s="620"/>
      <c r="J3" s="620"/>
      <c r="K3" s="620"/>
      <c r="L3" s="620"/>
      <c r="M3" s="620"/>
      <c r="N3" s="620"/>
      <c r="O3" s="621"/>
    </row>
    <row r="4" spans="3:34" x14ac:dyDescent="0.35">
      <c r="D4" s="630"/>
      <c r="E4" s="631"/>
      <c r="F4" s="622"/>
      <c r="G4" s="623"/>
      <c r="H4" s="623"/>
      <c r="I4" s="623"/>
      <c r="J4" s="623"/>
      <c r="K4" s="623"/>
      <c r="L4" s="623"/>
      <c r="M4" s="623"/>
      <c r="N4" s="623"/>
      <c r="O4" s="624"/>
    </row>
    <row r="5" spans="3:34" x14ac:dyDescent="0.35">
      <c r="D5" s="630"/>
      <c r="E5" s="631"/>
      <c r="F5" s="625"/>
      <c r="G5" s="626"/>
      <c r="H5" s="626"/>
      <c r="I5" s="626"/>
      <c r="J5" s="626"/>
      <c r="K5" s="626"/>
      <c r="L5" s="626"/>
      <c r="M5" s="626"/>
      <c r="N5" s="626"/>
      <c r="O5" s="627"/>
    </row>
    <row r="6" spans="3:34" x14ac:dyDescent="0.35">
      <c r="D6" s="630"/>
      <c r="E6" s="631"/>
      <c r="F6" s="607" t="s">
        <v>486</v>
      </c>
      <c r="G6" s="608"/>
      <c r="H6" s="608"/>
      <c r="I6" s="608"/>
      <c r="J6" s="608"/>
      <c r="K6" s="608"/>
      <c r="L6" s="608"/>
      <c r="M6" s="608"/>
      <c r="N6" s="608"/>
      <c r="O6" s="609"/>
    </row>
    <row r="7" spans="3:34" x14ac:dyDescent="0.35">
      <c r="D7" s="630"/>
      <c r="E7" s="631"/>
      <c r="F7" s="610"/>
      <c r="G7" s="611"/>
      <c r="H7" s="611"/>
      <c r="I7" s="611"/>
      <c r="J7" s="611"/>
      <c r="K7" s="611"/>
      <c r="L7" s="611"/>
      <c r="M7" s="611"/>
      <c r="N7" s="611"/>
      <c r="O7" s="612"/>
    </row>
    <row r="8" spans="3:34" x14ac:dyDescent="0.35">
      <c r="D8" s="632"/>
      <c r="E8" s="633"/>
      <c r="F8" s="613"/>
      <c r="G8" s="614"/>
      <c r="H8" s="614"/>
      <c r="I8" s="614"/>
      <c r="J8" s="614"/>
      <c r="K8" s="614"/>
      <c r="L8" s="614"/>
      <c r="M8" s="614"/>
      <c r="N8" s="614"/>
      <c r="O8" s="615"/>
    </row>
    <row r="9" spans="3:34" x14ac:dyDescent="0.35">
      <c r="D9" s="597" t="s">
        <v>60</v>
      </c>
      <c r="E9" s="598"/>
      <c r="F9" s="616" t="s">
        <v>61</v>
      </c>
      <c r="G9" s="617"/>
      <c r="H9" s="617"/>
      <c r="I9" s="617"/>
      <c r="J9" s="617"/>
      <c r="K9" s="617"/>
      <c r="L9" s="617"/>
      <c r="M9" s="617"/>
      <c r="N9" s="617"/>
      <c r="O9" s="618"/>
    </row>
    <row r="10" spans="3:34" x14ac:dyDescent="0.35">
      <c r="D10" s="597" t="s">
        <v>62</v>
      </c>
      <c r="E10" s="598"/>
      <c r="F10" s="599" t="s">
        <v>487</v>
      </c>
      <c r="G10" s="600"/>
      <c r="H10" s="600"/>
      <c r="I10" s="600"/>
      <c r="J10" s="600"/>
      <c r="K10" s="600"/>
      <c r="L10" s="600"/>
      <c r="M10" s="600"/>
      <c r="N10" s="600"/>
      <c r="O10" s="601"/>
    </row>
    <row r="12" spans="3:34" ht="18.600000000000001" thickBot="1" x14ac:dyDescent="0.4">
      <c r="C12" s="71" t="s">
        <v>538</v>
      </c>
    </row>
    <row r="13" spans="3:34" x14ac:dyDescent="0.35">
      <c r="C13" s="72" t="s">
        <v>63</v>
      </c>
      <c r="D13" s="73"/>
      <c r="E13" s="73"/>
      <c r="F13" s="73"/>
      <c r="G13" s="73"/>
      <c r="H13" s="73"/>
      <c r="I13" s="73"/>
      <c r="J13" s="73"/>
      <c r="K13" s="73"/>
      <c r="L13" s="73"/>
      <c r="M13" s="74"/>
      <c r="X13" s="69"/>
      <c r="Y13" s="69"/>
      <c r="AG13" s="67"/>
      <c r="AH13" s="67"/>
    </row>
    <row r="14" spans="3:34" x14ac:dyDescent="0.35">
      <c r="C14" s="75" t="s">
        <v>64</v>
      </c>
      <c r="D14" s="76"/>
      <c r="E14" s="76"/>
      <c r="F14" s="76"/>
      <c r="G14" s="76"/>
      <c r="H14" s="76"/>
      <c r="I14" s="76"/>
      <c r="J14" s="76"/>
      <c r="K14" s="76"/>
      <c r="L14" s="76"/>
      <c r="M14" s="77"/>
      <c r="O14" s="71"/>
      <c r="P14" s="71"/>
      <c r="X14" s="69"/>
      <c r="Y14" s="69"/>
      <c r="AG14" s="67"/>
      <c r="AH14" s="67"/>
    </row>
    <row r="15" spans="3:34" ht="18.600000000000001" thickBot="1" x14ac:dyDescent="0.4">
      <c r="C15" s="75" t="s">
        <v>66</v>
      </c>
      <c r="D15" s="76"/>
      <c r="E15" s="76"/>
      <c r="F15" s="76"/>
      <c r="G15" s="76"/>
      <c r="H15" s="76"/>
      <c r="I15" s="76"/>
      <c r="J15" s="76"/>
      <c r="K15" s="76"/>
      <c r="L15" s="76"/>
      <c r="M15" s="77"/>
      <c r="O15" s="71"/>
      <c r="P15" s="71"/>
      <c r="X15" s="69"/>
      <c r="Y15" s="69"/>
      <c r="AG15" s="67"/>
      <c r="AH15" s="67"/>
    </row>
    <row r="16" spans="3:34" x14ac:dyDescent="0.35">
      <c r="C16" s="78" t="s">
        <v>67</v>
      </c>
      <c r="D16" s="79" t="s">
        <v>68</v>
      </c>
      <c r="E16" s="79" t="s">
        <v>69</v>
      </c>
      <c r="F16" s="79" t="s">
        <v>70</v>
      </c>
      <c r="G16" s="79" t="s">
        <v>71</v>
      </c>
      <c r="H16" s="79" t="s">
        <v>72</v>
      </c>
      <c r="I16" s="79" t="s">
        <v>73</v>
      </c>
      <c r="J16" s="79" t="s">
        <v>74</v>
      </c>
      <c r="K16" s="80" t="s">
        <v>75</v>
      </c>
      <c r="L16" s="79" t="s">
        <v>76</v>
      </c>
      <c r="M16" s="81" t="s">
        <v>65</v>
      </c>
      <c r="O16" s="71"/>
      <c r="P16" s="71"/>
      <c r="X16" s="69"/>
      <c r="Y16" s="69"/>
      <c r="AG16" s="67"/>
      <c r="AH16" s="67"/>
    </row>
    <row r="17" spans="3:34" x14ac:dyDescent="0.35">
      <c r="C17" s="82" t="s">
        <v>77</v>
      </c>
      <c r="D17" s="83">
        <v>2</v>
      </c>
      <c r="E17" s="83">
        <v>2</v>
      </c>
      <c r="F17" s="83">
        <v>2</v>
      </c>
      <c r="G17" s="83">
        <v>2</v>
      </c>
      <c r="H17" s="83">
        <v>2</v>
      </c>
      <c r="I17" s="83">
        <v>2</v>
      </c>
      <c r="J17" s="83">
        <v>2</v>
      </c>
      <c r="K17" s="84">
        <v>2</v>
      </c>
      <c r="L17" s="83">
        <v>2</v>
      </c>
      <c r="M17" s="85">
        <v>2</v>
      </c>
      <c r="O17" s="71"/>
      <c r="P17" s="71"/>
      <c r="X17" s="69"/>
      <c r="Y17" s="69"/>
      <c r="AG17" s="67"/>
      <c r="AH17" s="67"/>
    </row>
    <row r="18" spans="3:34" x14ac:dyDescent="0.35">
      <c r="C18" s="86" t="s">
        <v>78</v>
      </c>
      <c r="D18" s="87">
        <v>2</v>
      </c>
      <c r="E18" s="87">
        <v>2.1</v>
      </c>
      <c r="F18" s="87">
        <v>2.1</v>
      </c>
      <c r="G18" s="87">
        <v>2.1</v>
      </c>
      <c r="H18" s="87">
        <v>2</v>
      </c>
      <c r="I18" s="87">
        <v>1.9</v>
      </c>
      <c r="J18" s="87">
        <v>1.9</v>
      </c>
      <c r="K18" s="88">
        <v>1.9</v>
      </c>
      <c r="L18" s="87">
        <v>1.3</v>
      </c>
      <c r="M18" s="89">
        <v>1.8</v>
      </c>
      <c r="O18" s="71"/>
      <c r="P18" s="71"/>
      <c r="X18" s="69"/>
      <c r="Y18" s="69"/>
      <c r="AG18" s="67"/>
      <c r="AH18" s="67"/>
    </row>
    <row r="19" spans="3:34" ht="18.600000000000001" thickBot="1" x14ac:dyDescent="0.4">
      <c r="C19" s="90" t="s">
        <v>79</v>
      </c>
      <c r="D19" s="91">
        <v>19760</v>
      </c>
      <c r="E19" s="91">
        <v>20190</v>
      </c>
      <c r="F19" s="91">
        <v>19940</v>
      </c>
      <c r="G19" s="91">
        <v>18720</v>
      </c>
      <c r="H19" s="91">
        <v>19060</v>
      </c>
      <c r="I19" s="91">
        <v>18340</v>
      </c>
      <c r="J19" s="91">
        <v>17790</v>
      </c>
      <c r="K19" s="92">
        <v>18450</v>
      </c>
      <c r="L19" s="91">
        <v>3600</v>
      </c>
      <c r="M19" s="93">
        <v>16560</v>
      </c>
      <c r="O19" s="71"/>
      <c r="P19" s="71"/>
      <c r="X19" s="69"/>
      <c r="Y19" s="69"/>
      <c r="AG19" s="67"/>
      <c r="AH19" s="67"/>
    </row>
    <row r="20" spans="3:34" ht="18.600000000000001" thickBot="1" x14ac:dyDescent="0.4">
      <c r="C20" s="574" t="s">
        <v>483</v>
      </c>
      <c r="D20" s="569"/>
      <c r="E20" s="570"/>
      <c r="F20" s="571"/>
      <c r="G20" s="572"/>
      <c r="H20" s="573">
        <f>'Scottish Population'!$U$13*'Tatis Tables (2021)'!K18</f>
        <v>10380270</v>
      </c>
      <c r="J20" s="94"/>
      <c r="K20" s="94"/>
      <c r="L20" s="94"/>
      <c r="M20" s="94"/>
      <c r="O20" s="71"/>
      <c r="P20" s="71"/>
      <c r="X20" s="69"/>
      <c r="Y20" s="69"/>
      <c r="AG20" s="67"/>
      <c r="AH20" s="67"/>
    </row>
    <row r="21" spans="3:34" x14ac:dyDescent="0.35">
      <c r="O21" s="71"/>
      <c r="P21" s="71"/>
      <c r="X21" s="69"/>
      <c r="Y21" s="69"/>
      <c r="AG21" s="67"/>
      <c r="AH21" s="67"/>
    </row>
    <row r="22" spans="3:34" ht="18.600000000000001" thickBot="1" x14ac:dyDescent="0.4">
      <c r="C22" s="71" t="s">
        <v>488</v>
      </c>
      <c r="X22" s="69"/>
      <c r="Y22" s="69"/>
      <c r="AG22" s="67"/>
      <c r="AH22" s="67"/>
    </row>
    <row r="23" spans="3:34" x14ac:dyDescent="0.35">
      <c r="C23" s="53" t="s">
        <v>80</v>
      </c>
      <c r="D23" s="95"/>
      <c r="E23" s="95"/>
      <c r="F23" s="95"/>
      <c r="G23" s="95"/>
      <c r="H23" s="95"/>
      <c r="I23" s="95"/>
      <c r="J23" s="95"/>
      <c r="K23" s="95"/>
      <c r="L23" s="96"/>
    </row>
    <row r="24" spans="3:34" x14ac:dyDescent="0.35">
      <c r="C24" s="75" t="s">
        <v>64</v>
      </c>
      <c r="D24" s="97"/>
      <c r="E24" s="97"/>
      <c r="F24" s="97"/>
      <c r="G24" s="97"/>
      <c r="H24" s="97"/>
      <c r="I24" s="97"/>
      <c r="J24" s="97"/>
      <c r="K24" s="97"/>
      <c r="L24" s="98"/>
    </row>
    <row r="25" spans="3:34" ht="18.600000000000001" thickBot="1" x14ac:dyDescent="0.4">
      <c r="C25" s="99" t="s">
        <v>66</v>
      </c>
      <c r="D25" s="100"/>
      <c r="E25" s="100"/>
      <c r="F25" s="100"/>
      <c r="G25" s="100"/>
      <c r="H25" s="100"/>
      <c r="I25" s="100"/>
      <c r="J25" s="100"/>
      <c r="K25" s="100"/>
      <c r="L25" s="101"/>
    </row>
    <row r="26" spans="3:34" ht="34.799999999999997" x14ac:dyDescent="0.35">
      <c r="C26" s="102" t="s">
        <v>81</v>
      </c>
      <c r="D26" s="103" t="s">
        <v>82</v>
      </c>
      <c r="E26" s="103" t="s">
        <v>83</v>
      </c>
      <c r="F26" s="103" t="s">
        <v>84</v>
      </c>
      <c r="G26" s="103" t="s">
        <v>85</v>
      </c>
      <c r="H26" s="103" t="s">
        <v>86</v>
      </c>
      <c r="I26" s="103" t="s">
        <v>87</v>
      </c>
      <c r="J26" s="103" t="s">
        <v>88</v>
      </c>
      <c r="K26" s="103" t="s">
        <v>89</v>
      </c>
      <c r="L26" s="104" t="s">
        <v>79</v>
      </c>
    </row>
    <row r="27" spans="3:34" x14ac:dyDescent="0.35">
      <c r="C27" s="105" t="s">
        <v>90</v>
      </c>
      <c r="D27" s="106">
        <v>22.1</v>
      </c>
      <c r="E27" s="106">
        <v>52.9</v>
      </c>
      <c r="F27" s="106">
        <v>12.3</v>
      </c>
      <c r="G27" s="106">
        <v>1.2</v>
      </c>
      <c r="H27" s="106">
        <v>7</v>
      </c>
      <c r="I27" s="106">
        <v>1.2</v>
      </c>
      <c r="J27" s="106">
        <v>2.2999999999999998</v>
      </c>
      <c r="K27" s="106">
        <v>1</v>
      </c>
      <c r="L27" s="107">
        <v>18450</v>
      </c>
    </row>
    <row r="28" spans="3:34" x14ac:dyDescent="0.35">
      <c r="C28" s="108" t="s">
        <v>91</v>
      </c>
      <c r="D28" s="109">
        <v>68</v>
      </c>
      <c r="E28" s="109">
        <v>24</v>
      </c>
      <c r="F28" s="109">
        <v>4</v>
      </c>
      <c r="G28" s="109">
        <v>1</v>
      </c>
      <c r="H28" s="109">
        <v>1</v>
      </c>
      <c r="I28" s="109">
        <v>1</v>
      </c>
      <c r="J28" s="109">
        <v>0</v>
      </c>
      <c r="K28" s="109">
        <v>1</v>
      </c>
      <c r="L28" s="110">
        <v>3450</v>
      </c>
    </row>
    <row r="29" spans="3:34" x14ac:dyDescent="0.35">
      <c r="C29" s="108" t="s">
        <v>92</v>
      </c>
      <c r="D29" s="109">
        <v>42</v>
      </c>
      <c r="E29" s="109">
        <v>40</v>
      </c>
      <c r="F29" s="109">
        <v>10</v>
      </c>
      <c r="G29" s="109">
        <v>2</v>
      </c>
      <c r="H29" s="109">
        <v>4</v>
      </c>
      <c r="I29" s="109">
        <v>1</v>
      </c>
      <c r="J29" s="109">
        <v>0</v>
      </c>
      <c r="K29" s="109">
        <v>0</v>
      </c>
      <c r="L29" s="107">
        <v>2740</v>
      </c>
    </row>
    <row r="30" spans="3:34" x14ac:dyDescent="0.35">
      <c r="C30" s="108" t="s">
        <v>93</v>
      </c>
      <c r="D30" s="109">
        <v>26</v>
      </c>
      <c r="E30" s="109">
        <v>49</v>
      </c>
      <c r="F30" s="109">
        <v>12</v>
      </c>
      <c r="G30" s="109">
        <v>2</v>
      </c>
      <c r="H30" s="109">
        <v>9</v>
      </c>
      <c r="I30" s="109">
        <v>2</v>
      </c>
      <c r="J30" s="109">
        <v>0</v>
      </c>
      <c r="K30" s="109">
        <v>0</v>
      </c>
      <c r="L30" s="107">
        <v>1810</v>
      </c>
    </row>
    <row r="31" spans="3:34" x14ac:dyDescent="0.35">
      <c r="C31" s="108" t="s">
        <v>94</v>
      </c>
      <c r="D31" s="109">
        <v>10</v>
      </c>
      <c r="E31" s="109">
        <v>59</v>
      </c>
      <c r="F31" s="109">
        <v>14</v>
      </c>
      <c r="G31" s="109">
        <v>2</v>
      </c>
      <c r="H31" s="109">
        <v>10</v>
      </c>
      <c r="I31" s="109">
        <v>2</v>
      </c>
      <c r="J31" s="109">
        <v>1</v>
      </c>
      <c r="K31" s="109">
        <v>1</v>
      </c>
      <c r="L31" s="107">
        <v>2240</v>
      </c>
    </row>
    <row r="32" spans="3:34" x14ac:dyDescent="0.35">
      <c r="C32" s="108" t="s">
        <v>95</v>
      </c>
      <c r="D32" s="109">
        <v>3</v>
      </c>
      <c r="E32" s="109">
        <v>62</v>
      </c>
      <c r="F32" s="109">
        <v>17</v>
      </c>
      <c r="G32" s="109">
        <v>1</v>
      </c>
      <c r="H32" s="109">
        <v>12</v>
      </c>
      <c r="I32" s="109">
        <v>1</v>
      </c>
      <c r="J32" s="109">
        <v>2</v>
      </c>
      <c r="K32" s="109">
        <v>1</v>
      </c>
      <c r="L32" s="107">
        <v>2800</v>
      </c>
    </row>
    <row r="33" spans="1:27" x14ac:dyDescent="0.35">
      <c r="C33" s="108" t="s">
        <v>96</v>
      </c>
      <c r="D33" s="109">
        <v>2</v>
      </c>
      <c r="E33" s="109">
        <v>70</v>
      </c>
      <c r="F33" s="109">
        <v>15</v>
      </c>
      <c r="G33" s="109">
        <v>0</v>
      </c>
      <c r="H33" s="109">
        <v>8</v>
      </c>
      <c r="I33" s="109">
        <v>2</v>
      </c>
      <c r="J33" s="109">
        <v>3</v>
      </c>
      <c r="K33" s="109">
        <v>0</v>
      </c>
      <c r="L33" s="107">
        <v>1570</v>
      </c>
    </row>
    <row r="34" spans="1:27" x14ac:dyDescent="0.35">
      <c r="C34" s="108" t="s">
        <v>97</v>
      </c>
      <c r="D34" s="109">
        <v>1</v>
      </c>
      <c r="E34" s="109">
        <v>71</v>
      </c>
      <c r="F34" s="109">
        <v>12</v>
      </c>
      <c r="G34" s="109">
        <v>0</v>
      </c>
      <c r="H34" s="109">
        <v>9</v>
      </c>
      <c r="I34" s="109">
        <v>1</v>
      </c>
      <c r="J34" s="109">
        <v>5</v>
      </c>
      <c r="K34" s="109">
        <v>1</v>
      </c>
      <c r="L34" s="107">
        <v>940</v>
      </c>
    </row>
    <row r="35" spans="1:27" x14ac:dyDescent="0.35">
      <c r="C35" s="108" t="s">
        <v>98</v>
      </c>
      <c r="D35" s="109">
        <v>1</v>
      </c>
      <c r="E35" s="109">
        <v>69</v>
      </c>
      <c r="F35" s="109">
        <v>13</v>
      </c>
      <c r="G35" s="109">
        <v>1</v>
      </c>
      <c r="H35" s="109">
        <v>8</v>
      </c>
      <c r="I35" s="109">
        <v>0</v>
      </c>
      <c r="J35" s="109">
        <v>7</v>
      </c>
      <c r="K35" s="109">
        <v>0</v>
      </c>
      <c r="L35" s="107">
        <v>1660</v>
      </c>
    </row>
    <row r="36" spans="1:27" x14ac:dyDescent="0.35">
      <c r="C36" s="111" t="s">
        <v>99</v>
      </c>
      <c r="D36" s="112">
        <v>1</v>
      </c>
      <c r="E36" s="112">
        <v>68</v>
      </c>
      <c r="F36" s="112">
        <v>17</v>
      </c>
      <c r="G36" s="112">
        <v>0</v>
      </c>
      <c r="H36" s="112">
        <v>5</v>
      </c>
      <c r="I36" s="112">
        <v>1</v>
      </c>
      <c r="J36" s="112">
        <v>7</v>
      </c>
      <c r="K36" s="112">
        <v>1</v>
      </c>
      <c r="L36" s="113">
        <v>1080</v>
      </c>
    </row>
    <row r="37" spans="1:27" x14ac:dyDescent="0.35">
      <c r="A37" s="71" t="s">
        <v>100</v>
      </c>
      <c r="B37" s="71"/>
      <c r="C37" s="114" t="s">
        <v>101</v>
      </c>
      <c r="D37" s="115">
        <v>47.6</v>
      </c>
      <c r="E37" s="115">
        <v>36.4</v>
      </c>
      <c r="F37" s="115">
        <v>8.1999999999999993</v>
      </c>
      <c r="G37" s="115">
        <v>1.6</v>
      </c>
      <c r="H37" s="115">
        <v>4</v>
      </c>
      <c r="I37" s="115">
        <v>1.2</v>
      </c>
      <c r="J37" s="115">
        <v>0.2</v>
      </c>
      <c r="K37" s="115">
        <v>0.7</v>
      </c>
      <c r="L37" s="116">
        <v>8310</v>
      </c>
      <c r="M37" s="117"/>
      <c r="O37" s="26"/>
    </row>
    <row r="38" spans="1:27" ht="18.600000000000001" thickBot="1" x14ac:dyDescent="0.4">
      <c r="A38" s="71" t="s">
        <v>102</v>
      </c>
      <c r="B38" s="71"/>
      <c r="C38" s="118" t="s">
        <v>103</v>
      </c>
      <c r="D38" s="119">
        <v>33.4</v>
      </c>
      <c r="E38" s="119">
        <v>44.3</v>
      </c>
      <c r="F38" s="119">
        <v>10.9</v>
      </c>
      <c r="G38" s="119">
        <v>1.7</v>
      </c>
      <c r="H38" s="119">
        <v>6.5</v>
      </c>
      <c r="I38" s="119">
        <v>1.4</v>
      </c>
      <c r="J38" s="119">
        <v>0.9</v>
      </c>
      <c r="K38" s="119">
        <v>0.9</v>
      </c>
      <c r="L38" s="120">
        <v>12170</v>
      </c>
      <c r="M38" s="117"/>
      <c r="O38" s="121"/>
    </row>
    <row r="42" spans="1:27" ht="18.600000000000001" thickBot="1" x14ac:dyDescent="0.4">
      <c r="C42" s="71" t="s">
        <v>595</v>
      </c>
    </row>
    <row r="43" spans="1:27" x14ac:dyDescent="0.35">
      <c r="C43" s="54" t="s">
        <v>104</v>
      </c>
      <c r="D43" s="122"/>
      <c r="E43" s="122"/>
      <c r="F43" s="122"/>
      <c r="G43" s="122"/>
      <c r="H43" s="122"/>
      <c r="I43" s="122"/>
      <c r="J43" s="122"/>
      <c r="K43" s="122"/>
      <c r="L43" s="122"/>
      <c r="M43" s="123"/>
      <c r="N43" s="94"/>
    </row>
    <row r="44" spans="1:27" x14ac:dyDescent="0.35">
      <c r="C44" s="124" t="s">
        <v>64</v>
      </c>
      <c r="D44" s="94"/>
      <c r="E44" s="94"/>
      <c r="F44" s="94"/>
      <c r="G44" s="94"/>
      <c r="H44" s="94"/>
      <c r="I44" s="94"/>
      <c r="J44" s="94"/>
      <c r="K44" s="94"/>
      <c r="L44" s="94"/>
      <c r="M44" s="125"/>
      <c r="N44" s="94"/>
    </row>
    <row r="45" spans="1:27" ht="18.600000000000001" thickBot="1" x14ac:dyDescent="0.4">
      <c r="C45" s="126" t="s">
        <v>66</v>
      </c>
      <c r="D45" s="94"/>
      <c r="E45" s="94"/>
      <c r="F45" s="94"/>
      <c r="G45" s="94"/>
      <c r="H45" s="94"/>
      <c r="I45" s="94"/>
      <c r="J45" s="94"/>
      <c r="K45" s="94"/>
      <c r="L45" s="94"/>
      <c r="M45" s="125"/>
      <c r="N45" s="94"/>
    </row>
    <row r="46" spans="1:27" ht="69.599999999999994" x14ac:dyDescent="0.35">
      <c r="C46" s="127" t="s">
        <v>81</v>
      </c>
      <c r="D46" s="128" t="s">
        <v>68</v>
      </c>
      <c r="E46" s="128" t="s">
        <v>69</v>
      </c>
      <c r="F46" s="128" t="s">
        <v>70</v>
      </c>
      <c r="G46" s="128" t="s">
        <v>71</v>
      </c>
      <c r="H46" s="128" t="s">
        <v>72</v>
      </c>
      <c r="I46" s="128" t="s">
        <v>73</v>
      </c>
      <c r="J46" s="128" t="s">
        <v>74</v>
      </c>
      <c r="K46" s="129" t="s">
        <v>75</v>
      </c>
      <c r="L46" s="130" t="s">
        <v>76</v>
      </c>
      <c r="M46" s="131" t="s">
        <v>65</v>
      </c>
      <c r="N46" s="554" t="s">
        <v>105</v>
      </c>
      <c r="O46" s="132" t="s">
        <v>106</v>
      </c>
      <c r="P46" s="133" t="s">
        <v>479</v>
      </c>
      <c r="Q46" s="134" t="s">
        <v>107</v>
      </c>
      <c r="R46" s="135" t="s">
        <v>480</v>
      </c>
      <c r="S46" s="134" t="s">
        <v>107</v>
      </c>
      <c r="T46" s="135" t="s">
        <v>481</v>
      </c>
      <c r="U46" s="555" t="s">
        <v>107</v>
      </c>
    </row>
    <row r="47" spans="1:27" x14ac:dyDescent="0.35">
      <c r="C47" s="78" t="s">
        <v>91</v>
      </c>
      <c r="D47" s="136">
        <v>24.2</v>
      </c>
      <c r="E47" s="136">
        <v>16.3</v>
      </c>
      <c r="F47" s="136">
        <v>17.3</v>
      </c>
      <c r="G47" s="136">
        <v>18.8</v>
      </c>
      <c r="H47" s="136">
        <v>19.3</v>
      </c>
      <c r="I47" s="136">
        <v>18.100000000000001</v>
      </c>
      <c r="J47" s="136">
        <v>15.6</v>
      </c>
      <c r="K47" s="137">
        <v>17</v>
      </c>
      <c r="L47" s="136">
        <v>23.4</v>
      </c>
      <c r="M47" s="138">
        <v>18.7</v>
      </c>
      <c r="N47" s="556">
        <f t="shared" ref="N47:N55" si="0">($H$20/100)*K47</f>
        <v>1764645.9</v>
      </c>
      <c r="O47" s="557">
        <f>N47*365</f>
        <v>644095753.5</v>
      </c>
      <c r="P47" s="558">
        <f>O47*0.4</f>
        <v>257638301.40000001</v>
      </c>
      <c r="Q47" s="559">
        <f t="shared" ref="Q47:Q55" si="1">P47/$P$57</f>
        <v>8.8174273858921161E-3</v>
      </c>
      <c r="R47" s="560">
        <f>O47*0.7</f>
        <v>450867027.44999999</v>
      </c>
      <c r="S47" s="561">
        <f t="shared" ref="S47:S55" si="2">R47/$R$57</f>
        <v>1.0825562883784398E-2</v>
      </c>
      <c r="T47" s="560">
        <f>O47*0.9</f>
        <v>579686178.14999998</v>
      </c>
      <c r="U47" s="562">
        <f t="shared" ref="U47:U55" si="3">T47/$T$57</f>
        <v>1.0790453622207178E-2</v>
      </c>
    </row>
    <row r="48" spans="1:27" x14ac:dyDescent="0.35">
      <c r="C48" s="78" t="s">
        <v>92</v>
      </c>
      <c r="D48" s="136">
        <v>13.7</v>
      </c>
      <c r="E48" s="136">
        <v>15.1</v>
      </c>
      <c r="F48" s="136">
        <v>14.8</v>
      </c>
      <c r="G48" s="136">
        <v>13</v>
      </c>
      <c r="H48" s="136">
        <v>13.8</v>
      </c>
      <c r="I48" s="136">
        <v>13.5</v>
      </c>
      <c r="J48" s="136">
        <v>14</v>
      </c>
      <c r="K48" s="137">
        <v>14.2</v>
      </c>
      <c r="L48" s="136">
        <v>17.100000000000001</v>
      </c>
      <c r="M48" s="138">
        <v>15.4</v>
      </c>
      <c r="N48" s="556">
        <f t="shared" si="0"/>
        <v>1473998.3399999999</v>
      </c>
      <c r="O48" s="557">
        <f>N48*365</f>
        <v>538009394.0999999</v>
      </c>
      <c r="P48" s="558">
        <f>O48*1</f>
        <v>538009394.0999999</v>
      </c>
      <c r="Q48" s="559">
        <f t="shared" si="1"/>
        <v>1.8412863070539416E-2</v>
      </c>
      <c r="R48" s="560">
        <f>O48*1.5</f>
        <v>807014091.14999986</v>
      </c>
      <c r="S48" s="561">
        <f t="shared" si="2"/>
        <v>1.9376847850807365E-2</v>
      </c>
      <c r="T48" s="560">
        <f>O48*1.9</f>
        <v>1022217848.7899997</v>
      </c>
      <c r="U48" s="562">
        <f t="shared" si="3"/>
        <v>1.9027871812232002E-2</v>
      </c>
      <c r="AA48" s="139"/>
    </row>
    <row r="49" spans="3:37" x14ac:dyDescent="0.35">
      <c r="C49" s="78" t="s">
        <v>93</v>
      </c>
      <c r="D49" s="136">
        <v>8.8000000000000007</v>
      </c>
      <c r="E49" s="136">
        <v>9.6999999999999993</v>
      </c>
      <c r="F49" s="136">
        <v>9.6999999999999993</v>
      </c>
      <c r="G49" s="136">
        <v>9.9</v>
      </c>
      <c r="H49" s="136">
        <v>9.6999999999999993</v>
      </c>
      <c r="I49" s="136">
        <v>9.4</v>
      </c>
      <c r="J49" s="136">
        <v>10.6</v>
      </c>
      <c r="K49" s="137">
        <v>9.8000000000000007</v>
      </c>
      <c r="L49" s="136">
        <v>11</v>
      </c>
      <c r="M49" s="138">
        <v>9.8000000000000007</v>
      </c>
      <c r="N49" s="556">
        <f t="shared" si="0"/>
        <v>1017266.4600000001</v>
      </c>
      <c r="O49" s="557">
        <f t="shared" ref="O49:O55" si="4">N49*365</f>
        <v>371302257.90000004</v>
      </c>
      <c r="P49" s="558">
        <f>O49*2</f>
        <v>742604515.80000007</v>
      </c>
      <c r="Q49" s="559">
        <f t="shared" si="1"/>
        <v>2.5414937759336103E-2</v>
      </c>
      <c r="R49" s="560">
        <f>O49*2.5</f>
        <v>928255644.75000012</v>
      </c>
      <c r="S49" s="561">
        <f t="shared" si="2"/>
        <v>2.2287923584262001E-2</v>
      </c>
      <c r="T49" s="560">
        <f>O49*2.9</f>
        <v>1076776547.9100001</v>
      </c>
      <c r="U49" s="562">
        <f t="shared" si="3"/>
        <v>2.0043443917851508E-2</v>
      </c>
    </row>
    <row r="50" spans="3:37" x14ac:dyDescent="0.35">
      <c r="C50" s="78" t="s">
        <v>94</v>
      </c>
      <c r="D50" s="136">
        <v>12.4</v>
      </c>
      <c r="E50" s="136">
        <v>13.5</v>
      </c>
      <c r="F50" s="136">
        <v>13.2</v>
      </c>
      <c r="G50" s="136">
        <v>13.1</v>
      </c>
      <c r="H50" s="136">
        <v>12.4</v>
      </c>
      <c r="I50" s="136">
        <v>13.5</v>
      </c>
      <c r="J50" s="136">
        <v>12.9</v>
      </c>
      <c r="K50" s="137">
        <v>13.2</v>
      </c>
      <c r="L50" s="136">
        <v>13</v>
      </c>
      <c r="M50" s="138">
        <v>13.1</v>
      </c>
      <c r="N50" s="556">
        <f t="shared" si="0"/>
        <v>1370195.64</v>
      </c>
      <c r="O50" s="557">
        <f t="shared" si="4"/>
        <v>500121408.59999996</v>
      </c>
      <c r="P50" s="558">
        <f>O50*3</f>
        <v>1500364225.8</v>
      </c>
      <c r="Q50" s="559">
        <f t="shared" si="1"/>
        <v>5.1348547717842322E-2</v>
      </c>
      <c r="R50" s="560">
        <f>O50*4</f>
        <v>2000485634.3999999</v>
      </c>
      <c r="S50" s="561">
        <f t="shared" si="2"/>
        <v>4.8032749602001358E-2</v>
      </c>
      <c r="T50" s="560">
        <f>O50*4.9</f>
        <v>2450594902.1399999</v>
      </c>
      <c r="U50" s="562">
        <f t="shared" si="3"/>
        <v>4.5616113744075835E-2</v>
      </c>
    </row>
    <row r="51" spans="3:37" x14ac:dyDescent="0.35">
      <c r="C51" s="78" t="s">
        <v>95</v>
      </c>
      <c r="D51" s="136">
        <v>14.6</v>
      </c>
      <c r="E51" s="136">
        <v>16.399999999999999</v>
      </c>
      <c r="F51" s="136">
        <v>16.600000000000001</v>
      </c>
      <c r="G51" s="136">
        <v>16.8</v>
      </c>
      <c r="H51" s="136">
        <v>15.8</v>
      </c>
      <c r="I51" s="136">
        <v>16.399999999999999</v>
      </c>
      <c r="J51" s="136">
        <v>16.600000000000001</v>
      </c>
      <c r="K51" s="137">
        <v>15.9</v>
      </c>
      <c r="L51" s="136">
        <v>16.100000000000001</v>
      </c>
      <c r="M51" s="138">
        <v>15.4</v>
      </c>
      <c r="N51" s="556">
        <f t="shared" si="0"/>
        <v>1650462.93</v>
      </c>
      <c r="O51" s="557">
        <f>N51*365</f>
        <v>602418969.44999993</v>
      </c>
      <c r="P51" s="558">
        <f>O51*5</f>
        <v>3012094847.2499995</v>
      </c>
      <c r="Q51" s="559">
        <f t="shared" si="1"/>
        <v>0.10308609958506224</v>
      </c>
      <c r="R51" s="560">
        <f>O51*7.5</f>
        <v>4518142270.874999</v>
      </c>
      <c r="S51" s="561">
        <f t="shared" si="2"/>
        <v>0.10848305662952011</v>
      </c>
      <c r="T51" s="560">
        <f>O51*9.9</f>
        <v>5963947797.5549994</v>
      </c>
      <c r="U51" s="562">
        <f t="shared" si="3"/>
        <v>0.1110147257955315</v>
      </c>
    </row>
    <row r="52" spans="3:37" x14ac:dyDescent="0.35">
      <c r="C52" s="78" t="s">
        <v>96</v>
      </c>
      <c r="D52" s="136">
        <v>8.4</v>
      </c>
      <c r="E52" s="136">
        <v>9.4</v>
      </c>
      <c r="F52" s="136">
        <v>8.6999999999999993</v>
      </c>
      <c r="G52" s="136">
        <v>8.5</v>
      </c>
      <c r="H52" s="136">
        <v>8.1999999999999993</v>
      </c>
      <c r="I52" s="136">
        <v>8.1</v>
      </c>
      <c r="J52" s="136">
        <v>9</v>
      </c>
      <c r="K52" s="137">
        <v>8.9</v>
      </c>
      <c r="L52" s="136">
        <v>5.7</v>
      </c>
      <c r="M52" s="138">
        <v>8</v>
      </c>
      <c r="N52" s="556">
        <f t="shared" si="0"/>
        <v>923844.03</v>
      </c>
      <c r="O52" s="557">
        <f t="shared" si="4"/>
        <v>337203070.94999999</v>
      </c>
      <c r="P52" s="558">
        <f>O52*10</f>
        <v>3372030709.5</v>
      </c>
      <c r="Q52" s="559">
        <f t="shared" si="1"/>
        <v>0.1154045643153527</v>
      </c>
      <c r="R52" s="560">
        <f>O52*12.5</f>
        <v>4215038386.875</v>
      </c>
      <c r="S52" s="561">
        <f t="shared" si="2"/>
        <v>0.10120536729588356</v>
      </c>
      <c r="T52" s="560">
        <f>O52*14.9</f>
        <v>5024325757.1549997</v>
      </c>
      <c r="U52" s="562">
        <f t="shared" si="3"/>
        <v>9.3524317309862354E-2</v>
      </c>
    </row>
    <row r="53" spans="3:37" x14ac:dyDescent="0.35">
      <c r="C53" s="78" t="s">
        <v>97</v>
      </c>
      <c r="D53" s="136">
        <v>4.2</v>
      </c>
      <c r="E53" s="136">
        <v>4.9000000000000004</v>
      </c>
      <c r="F53" s="136">
        <v>4.9000000000000004</v>
      </c>
      <c r="G53" s="136">
        <v>4.8</v>
      </c>
      <c r="H53" s="136">
        <v>4.8</v>
      </c>
      <c r="I53" s="136">
        <v>4.5</v>
      </c>
      <c r="J53" s="136">
        <v>5.3</v>
      </c>
      <c r="K53" s="137">
        <v>5.0999999999999996</v>
      </c>
      <c r="L53" s="136">
        <v>2.9</v>
      </c>
      <c r="M53" s="138">
        <v>4.2</v>
      </c>
      <c r="N53" s="556">
        <f t="shared" si="0"/>
        <v>529393.7699999999</v>
      </c>
      <c r="O53" s="557">
        <f t="shared" si="4"/>
        <v>193228726.04999995</v>
      </c>
      <c r="P53" s="558">
        <f>O53*15</f>
        <v>2898430890.749999</v>
      </c>
      <c r="Q53" s="559">
        <f t="shared" si="1"/>
        <v>9.9196058091286274E-2</v>
      </c>
      <c r="R53" s="560">
        <f>O53*17.5</f>
        <v>3381502705.874999</v>
      </c>
      <c r="S53" s="561">
        <f t="shared" si="2"/>
        <v>8.1191721628382965E-2</v>
      </c>
      <c r="T53" s="560">
        <f>O53*19.9</f>
        <v>3845251648.3949986</v>
      </c>
      <c r="U53" s="562">
        <f t="shared" si="3"/>
        <v>7.1576675693974259E-2</v>
      </c>
    </row>
    <row r="54" spans="3:37" x14ac:dyDescent="0.35">
      <c r="C54" s="78" t="s">
        <v>98</v>
      </c>
      <c r="D54" s="136">
        <v>8.4</v>
      </c>
      <c r="E54" s="136">
        <v>8.8000000000000007</v>
      </c>
      <c r="F54" s="136">
        <v>9.5</v>
      </c>
      <c r="G54" s="136">
        <v>9.1999999999999993</v>
      </c>
      <c r="H54" s="136">
        <v>10.1</v>
      </c>
      <c r="I54" s="136">
        <v>9.9</v>
      </c>
      <c r="J54" s="136">
        <v>9.9</v>
      </c>
      <c r="K54" s="137">
        <v>9.6999999999999993</v>
      </c>
      <c r="L54" s="136">
        <v>6.7</v>
      </c>
      <c r="M54" s="138">
        <v>9.1999999999999993</v>
      </c>
      <c r="N54" s="556">
        <f t="shared" si="0"/>
        <v>1006886.19</v>
      </c>
      <c r="O54" s="557">
        <f t="shared" si="4"/>
        <v>367513459.34999996</v>
      </c>
      <c r="P54" s="558">
        <f>O54*20</f>
        <v>7350269186.999999</v>
      </c>
      <c r="Q54" s="559">
        <f t="shared" si="1"/>
        <v>0.25155601659751037</v>
      </c>
      <c r="R54" s="560">
        <f>O54*30</f>
        <v>11025403780.499998</v>
      </c>
      <c r="S54" s="561">
        <f t="shared" si="2"/>
        <v>0.26472594951103018</v>
      </c>
      <c r="T54" s="560">
        <f>O54*39.9</f>
        <v>14663787028.064999</v>
      </c>
      <c r="U54" s="562">
        <f t="shared" si="3"/>
        <v>0.27295616113744081</v>
      </c>
    </row>
    <row r="55" spans="3:37" x14ac:dyDescent="0.35">
      <c r="C55" s="78" t="s">
        <v>99</v>
      </c>
      <c r="D55" s="136">
        <v>5.4</v>
      </c>
      <c r="E55" s="136">
        <v>6</v>
      </c>
      <c r="F55" s="136">
        <v>5.3</v>
      </c>
      <c r="G55" s="136">
        <v>6.1</v>
      </c>
      <c r="H55" s="136">
        <v>5.9</v>
      </c>
      <c r="I55" s="136">
        <v>6.7</v>
      </c>
      <c r="J55" s="136">
        <v>6.1</v>
      </c>
      <c r="K55" s="137">
        <v>6.3</v>
      </c>
      <c r="L55" s="136">
        <v>4.0999999999999996</v>
      </c>
      <c r="M55" s="138">
        <v>6.2</v>
      </c>
      <c r="N55" s="556">
        <f t="shared" si="0"/>
        <v>653957.01</v>
      </c>
      <c r="O55" s="557">
        <f t="shared" si="4"/>
        <v>238694308.65000001</v>
      </c>
      <c r="P55" s="558">
        <f>O55*40</f>
        <v>9547772346</v>
      </c>
      <c r="Q55" s="559">
        <f t="shared" si="1"/>
        <v>0.32676348547717843</v>
      </c>
      <c r="R55" s="560">
        <f>O55*60</f>
        <v>14321658519</v>
      </c>
      <c r="S55" s="561">
        <f t="shared" si="2"/>
        <v>0.34387082101432798</v>
      </c>
      <c r="T55" s="560">
        <f>O55*80</f>
        <v>19095544692</v>
      </c>
      <c r="U55" s="562">
        <f t="shared" si="3"/>
        <v>0.35545023696682471</v>
      </c>
    </row>
    <row r="56" spans="3:37" ht="18.600000000000001" thickBot="1" x14ac:dyDescent="0.4">
      <c r="C56" s="90" t="s">
        <v>79</v>
      </c>
      <c r="D56" s="140">
        <v>19290</v>
      </c>
      <c r="E56" s="140">
        <v>19980</v>
      </c>
      <c r="F56" s="140">
        <v>19700</v>
      </c>
      <c r="G56" s="140">
        <v>18300</v>
      </c>
      <c r="H56" s="140">
        <v>18790</v>
      </c>
      <c r="I56" s="140">
        <v>18030</v>
      </c>
      <c r="J56" s="140">
        <v>17640</v>
      </c>
      <c r="K56" s="141">
        <v>18290</v>
      </c>
      <c r="L56" s="140">
        <v>3600</v>
      </c>
      <c r="M56" s="142">
        <v>16560</v>
      </c>
      <c r="N56" s="563" t="s">
        <v>108</v>
      </c>
      <c r="O56" s="143" t="s">
        <v>108</v>
      </c>
      <c r="P56" s="144" t="s">
        <v>108</v>
      </c>
      <c r="Q56" s="145" t="s">
        <v>108</v>
      </c>
      <c r="R56" s="144" t="s">
        <v>108</v>
      </c>
      <c r="S56" s="145" t="s">
        <v>108</v>
      </c>
      <c r="T56" s="144" t="s">
        <v>108</v>
      </c>
      <c r="U56" s="564"/>
    </row>
    <row r="57" spans="3:37" ht="18.600000000000001" thickBot="1" x14ac:dyDescent="0.4">
      <c r="C57" s="146" t="s">
        <v>109</v>
      </c>
      <c r="D57" s="147">
        <f t="shared" ref="D57:N57" si="5">SUM(D47:D55)</f>
        <v>100.10000000000002</v>
      </c>
      <c r="E57" s="147">
        <f t="shared" si="5"/>
        <v>100.10000000000001</v>
      </c>
      <c r="F57" s="147">
        <f t="shared" si="5"/>
        <v>100</v>
      </c>
      <c r="G57" s="147">
        <f t="shared" si="5"/>
        <v>100.2</v>
      </c>
      <c r="H57" s="147">
        <f t="shared" si="5"/>
        <v>100</v>
      </c>
      <c r="I57" s="147">
        <f t="shared" si="5"/>
        <v>100.10000000000001</v>
      </c>
      <c r="J57" s="147">
        <f t="shared" si="5"/>
        <v>100</v>
      </c>
      <c r="K57" s="147">
        <f t="shared" si="5"/>
        <v>100.10000000000001</v>
      </c>
      <c r="L57" s="147">
        <f t="shared" si="5"/>
        <v>100</v>
      </c>
      <c r="M57" s="148">
        <f t="shared" si="5"/>
        <v>100.00000000000001</v>
      </c>
      <c r="N57" s="146">
        <f t="shared" si="5"/>
        <v>10390650.27</v>
      </c>
      <c r="O57" s="565">
        <f>N57*365</f>
        <v>3792587348.5499997</v>
      </c>
      <c r="P57" s="566">
        <f t="shared" ref="P57:U57" si="6">SUM(P47:P55)</f>
        <v>29219214417.599998</v>
      </c>
      <c r="Q57" s="268">
        <f t="shared" si="6"/>
        <v>1</v>
      </c>
      <c r="R57" s="566">
        <f t="shared" si="6"/>
        <v>41648368060.875</v>
      </c>
      <c r="S57" s="567">
        <f t="shared" si="6"/>
        <v>1</v>
      </c>
      <c r="T57" s="566">
        <f t="shared" si="6"/>
        <v>53722132400.159988</v>
      </c>
      <c r="U57" s="568">
        <f t="shared" si="6"/>
        <v>1</v>
      </c>
    </row>
    <row r="59" spans="3:37" ht="18.600000000000001" thickBot="1" x14ac:dyDescent="0.4">
      <c r="C59" s="71" t="s">
        <v>596</v>
      </c>
    </row>
    <row r="60" spans="3:37" x14ac:dyDescent="0.35">
      <c r="C60" s="55" t="s">
        <v>110</v>
      </c>
      <c r="D60" s="150"/>
      <c r="E60" s="150"/>
      <c r="F60" s="150"/>
      <c r="G60" s="150"/>
      <c r="H60" s="150"/>
      <c r="I60" s="150"/>
      <c r="J60" s="150"/>
      <c r="K60" s="150"/>
      <c r="L60" s="151"/>
      <c r="M60" s="152"/>
      <c r="O60" s="153"/>
      <c r="P60" s="154"/>
      <c r="Q60" s="154"/>
      <c r="R60" s="155" t="s">
        <v>121</v>
      </c>
      <c r="S60" s="154"/>
      <c r="T60" s="154"/>
      <c r="U60" s="154"/>
      <c r="V60" s="154"/>
      <c r="W60" s="156"/>
      <c r="X60" s="152"/>
      <c r="Z60" s="67"/>
      <c r="AA60" s="67"/>
      <c r="AE60" s="157" t="s">
        <v>120</v>
      </c>
      <c r="AI60" s="69"/>
      <c r="AJ60" s="69"/>
    </row>
    <row r="61" spans="3:37" ht="18.600000000000001" thickBot="1" x14ac:dyDescent="0.4">
      <c r="C61" s="124" t="s">
        <v>64</v>
      </c>
      <c r="D61" s="158"/>
      <c r="E61" s="158"/>
      <c r="F61" s="158"/>
      <c r="G61" s="158"/>
      <c r="H61" s="158"/>
      <c r="I61" s="158"/>
      <c r="J61" s="158"/>
      <c r="K61" s="158"/>
      <c r="L61" s="158"/>
      <c r="M61" s="159"/>
      <c r="O61" s="160"/>
      <c r="P61" s="71"/>
      <c r="Q61" s="71"/>
      <c r="S61" s="71"/>
      <c r="T61" s="71"/>
      <c r="U61" s="71"/>
      <c r="V61" s="71"/>
      <c r="X61" s="159"/>
      <c r="Z61" s="67"/>
      <c r="AA61" s="67"/>
      <c r="AI61" s="69"/>
      <c r="AJ61" s="69"/>
    </row>
    <row r="62" spans="3:37" ht="35.4" thickBot="1" x14ac:dyDescent="0.4">
      <c r="C62" s="126" t="s">
        <v>66</v>
      </c>
      <c r="D62" s="158"/>
      <c r="E62" s="158"/>
      <c r="F62" s="158"/>
      <c r="G62" s="158"/>
      <c r="H62" s="158"/>
      <c r="I62" s="158"/>
      <c r="J62" s="158"/>
      <c r="K62" s="158"/>
      <c r="L62" s="158"/>
      <c r="M62" s="159"/>
      <c r="O62" s="161" t="s">
        <v>81</v>
      </c>
      <c r="P62" s="162" t="s">
        <v>82</v>
      </c>
      <c r="Q62" s="162" t="s">
        <v>83</v>
      </c>
      <c r="R62" s="162" t="s">
        <v>84</v>
      </c>
      <c r="S62" s="162" t="s">
        <v>85</v>
      </c>
      <c r="T62" s="162" t="s">
        <v>86</v>
      </c>
      <c r="U62" s="162" t="s">
        <v>87</v>
      </c>
      <c r="V62" s="162" t="s">
        <v>88</v>
      </c>
      <c r="W62" s="162" t="s">
        <v>89</v>
      </c>
      <c r="X62" s="163"/>
      <c r="Z62" s="67"/>
      <c r="AD62" s="164" t="s">
        <v>122</v>
      </c>
      <c r="AH62" s="157"/>
      <c r="AI62" s="157"/>
      <c r="AK62" s="165"/>
    </row>
    <row r="63" spans="3:37" ht="52.8" thickBot="1" x14ac:dyDescent="0.4">
      <c r="C63" s="166" t="s">
        <v>111</v>
      </c>
      <c r="D63" s="167" t="s">
        <v>112</v>
      </c>
      <c r="E63" s="167" t="s">
        <v>113</v>
      </c>
      <c r="F63" s="167" t="s">
        <v>114</v>
      </c>
      <c r="G63" s="167" t="s">
        <v>115</v>
      </c>
      <c r="H63" s="167" t="s">
        <v>116</v>
      </c>
      <c r="I63" s="167" t="s">
        <v>117</v>
      </c>
      <c r="J63" s="167" t="s">
        <v>118</v>
      </c>
      <c r="K63" s="167" t="s">
        <v>119</v>
      </c>
      <c r="L63" s="168" t="s">
        <v>79</v>
      </c>
      <c r="M63" s="159"/>
      <c r="O63" s="56" t="s">
        <v>90</v>
      </c>
      <c r="P63" s="71">
        <f>SUM(P64:P72)</f>
        <v>843310781.25900006</v>
      </c>
      <c r="Q63" s="71">
        <f>SUM(Q64:Q72)</f>
        <v>2009427198.9779997</v>
      </c>
      <c r="R63" s="71">
        <f t="shared" ref="R63:V63" si="7">SUM(R64:R72)</f>
        <v>458671952.46299994</v>
      </c>
      <c r="S63" s="71">
        <f>SUM(S64:S72)</f>
        <v>44328943.034999996</v>
      </c>
      <c r="T63" s="71">
        <f t="shared" si="7"/>
        <v>269383576.90499997</v>
      </c>
      <c r="U63" s="71">
        <f t="shared" si="7"/>
        <v>46337006.266499996</v>
      </c>
      <c r="V63" s="71">
        <f t="shared" si="7"/>
        <v>79261665.665999994</v>
      </c>
      <c r="W63" s="71">
        <f>SUM(W64:W72)</f>
        <v>21785591.662499998</v>
      </c>
      <c r="X63" s="169">
        <f t="shared" ref="X63:X70" si="8">SUM(P65:W65)</f>
        <v>532629300.15899986</v>
      </c>
      <c r="Z63" s="170" t="s">
        <v>81</v>
      </c>
      <c r="AA63" s="171" t="s">
        <v>82</v>
      </c>
      <c r="AB63" s="171" t="s">
        <v>83</v>
      </c>
      <c r="AC63" s="171" t="s">
        <v>84</v>
      </c>
      <c r="AD63" s="171" t="s">
        <v>85</v>
      </c>
      <c r="AE63" s="171" t="s">
        <v>86</v>
      </c>
      <c r="AF63" s="171" t="s">
        <v>87</v>
      </c>
      <c r="AG63" s="171" t="s">
        <v>88</v>
      </c>
      <c r="AH63" s="171" t="s">
        <v>89</v>
      </c>
      <c r="AI63" s="172" t="s">
        <v>123</v>
      </c>
    </row>
    <row r="64" spans="3:37" ht="34.799999999999997" x14ac:dyDescent="0.35">
      <c r="C64" s="173">
        <v>2012</v>
      </c>
      <c r="D64" s="174">
        <v>48.5</v>
      </c>
      <c r="E64" s="174">
        <v>33.4</v>
      </c>
      <c r="F64" s="174">
        <v>9.3000000000000007</v>
      </c>
      <c r="G64" s="174">
        <v>1.5</v>
      </c>
      <c r="H64" s="174">
        <v>5</v>
      </c>
      <c r="I64" s="174">
        <v>1.6</v>
      </c>
      <c r="J64" s="174">
        <v>0.3</v>
      </c>
      <c r="K64" s="174">
        <v>0.5</v>
      </c>
      <c r="L64" s="175">
        <v>9870</v>
      </c>
      <c r="M64" s="159"/>
      <c r="O64" s="56" t="s">
        <v>91</v>
      </c>
      <c r="P64" s="71">
        <f t="shared" ref="P64:W64" si="9">($O$47/100)*D28</f>
        <v>437985112.38</v>
      </c>
      <c r="Q64" s="71">
        <f t="shared" si="9"/>
        <v>154582980.84</v>
      </c>
      <c r="R64" s="71">
        <f t="shared" si="9"/>
        <v>25763830.140000001</v>
      </c>
      <c r="S64" s="71">
        <f t="shared" si="9"/>
        <v>6440957.5350000001</v>
      </c>
      <c r="T64" s="71">
        <f t="shared" si="9"/>
        <v>6440957.5350000001</v>
      </c>
      <c r="U64" s="71">
        <f t="shared" si="9"/>
        <v>6440957.5350000001</v>
      </c>
      <c r="V64" s="71">
        <f t="shared" si="9"/>
        <v>0</v>
      </c>
      <c r="W64" s="71">
        <f t="shared" si="9"/>
        <v>6440957.5350000001</v>
      </c>
      <c r="X64" s="169">
        <f t="shared" si="8"/>
        <v>371302257.90000004</v>
      </c>
      <c r="Z64" s="176" t="s">
        <v>90</v>
      </c>
      <c r="AA64" s="177">
        <f t="shared" ref="AA64:AH64" si="10">SUM(AA65:AA73)</f>
        <v>1100039771.007</v>
      </c>
      <c r="AB64" s="177">
        <f t="shared" si="10"/>
        <v>19376105224.627499</v>
      </c>
      <c r="AC64" s="177">
        <f t="shared" si="10"/>
        <v>4307598735.4514999</v>
      </c>
      <c r="AD64" s="177">
        <f t="shared" si="10"/>
        <v>161819586.07049999</v>
      </c>
      <c r="AE64" s="177">
        <f t="shared" si="10"/>
        <v>2198450358.6374998</v>
      </c>
      <c r="AF64" s="177">
        <f t="shared" si="10"/>
        <v>274839446.81699997</v>
      </c>
      <c r="AG64" s="177">
        <f t="shared" si="10"/>
        <v>1504190912.3354998</v>
      </c>
      <c r="AH64" s="177">
        <f t="shared" si="10"/>
        <v>172163006.11199999</v>
      </c>
      <c r="AI64" s="178">
        <f t="shared" ref="AI64:AI71" si="11">SUM(AA64:AH64)</f>
        <v>29095207041.058498</v>
      </c>
      <c r="AK64" s="71"/>
    </row>
    <row r="65" spans="3:41" x14ac:dyDescent="0.35">
      <c r="C65" s="179">
        <v>2013</v>
      </c>
      <c r="D65" s="174">
        <v>47.3</v>
      </c>
      <c r="E65" s="174">
        <v>34.200000000000003</v>
      </c>
      <c r="F65" s="174">
        <v>10.1</v>
      </c>
      <c r="G65" s="174">
        <v>1.2</v>
      </c>
      <c r="H65" s="174">
        <v>4.8</v>
      </c>
      <c r="I65" s="174">
        <v>1.9</v>
      </c>
      <c r="J65" s="174">
        <v>0.2</v>
      </c>
      <c r="K65" s="174">
        <v>0.2</v>
      </c>
      <c r="L65" s="175">
        <v>9220</v>
      </c>
      <c r="M65" s="159"/>
      <c r="O65" s="56" t="s">
        <v>92</v>
      </c>
      <c r="P65" s="71">
        <f t="shared" ref="P65:W65" si="12">($O$48/100)*D29</f>
        <v>225963945.52199996</v>
      </c>
      <c r="Q65" s="71">
        <f t="shared" si="12"/>
        <v>215203757.63999996</v>
      </c>
      <c r="R65" s="71">
        <f t="shared" si="12"/>
        <v>53800939.409999989</v>
      </c>
      <c r="S65" s="71">
        <f t="shared" si="12"/>
        <v>10760187.881999997</v>
      </c>
      <c r="T65" s="71">
        <f t="shared" si="12"/>
        <v>21520375.763999995</v>
      </c>
      <c r="U65" s="71">
        <f t="shared" si="12"/>
        <v>5380093.9409999987</v>
      </c>
      <c r="V65" s="71">
        <f t="shared" si="12"/>
        <v>0</v>
      </c>
      <c r="W65" s="71">
        <f t="shared" si="12"/>
        <v>0</v>
      </c>
      <c r="X65" s="169">
        <f t="shared" si="8"/>
        <v>495120194.514</v>
      </c>
      <c r="Z65" s="180" t="s">
        <v>91</v>
      </c>
      <c r="AA65" s="177">
        <f t="shared" ref="AA65:AH65" si="13">($P$47/100)*D28</f>
        <v>175194044.95199999</v>
      </c>
      <c r="AB65" s="177">
        <f t="shared" si="13"/>
        <v>61833192.335999995</v>
      </c>
      <c r="AC65" s="177">
        <f t="shared" si="13"/>
        <v>10305532.056</v>
      </c>
      <c r="AD65" s="177">
        <f t="shared" si="13"/>
        <v>2576383.014</v>
      </c>
      <c r="AE65" s="177">
        <f t="shared" si="13"/>
        <v>2576383.014</v>
      </c>
      <c r="AF65" s="177">
        <f t="shared" si="13"/>
        <v>2576383.014</v>
      </c>
      <c r="AG65" s="177">
        <f t="shared" si="13"/>
        <v>0</v>
      </c>
      <c r="AH65" s="177">
        <f t="shared" si="13"/>
        <v>2576383.014</v>
      </c>
      <c r="AI65" s="178">
        <f t="shared" si="11"/>
        <v>257638301.39999998</v>
      </c>
      <c r="AK65" s="177"/>
    </row>
    <row r="66" spans="3:41" ht="34.799999999999997" x14ac:dyDescent="0.35">
      <c r="C66" s="179">
        <v>2014</v>
      </c>
      <c r="D66" s="174">
        <v>51.3</v>
      </c>
      <c r="E66" s="174">
        <v>32.200000000000003</v>
      </c>
      <c r="F66" s="174">
        <v>8.1999999999999993</v>
      </c>
      <c r="G66" s="174">
        <v>1.5</v>
      </c>
      <c r="H66" s="174">
        <v>4.8</v>
      </c>
      <c r="I66" s="174">
        <v>1.6</v>
      </c>
      <c r="J66" s="174">
        <v>0.1</v>
      </c>
      <c r="K66" s="174">
        <v>0.3</v>
      </c>
      <c r="L66" s="175">
        <v>9130</v>
      </c>
      <c r="M66" s="159"/>
      <c r="O66" s="56" t="s">
        <v>93</v>
      </c>
      <c r="P66" s="71">
        <f t="shared" ref="P66:W66" si="14">($O$49/100)*D30</f>
        <v>96538587.054000005</v>
      </c>
      <c r="Q66" s="71">
        <f t="shared" si="14"/>
        <v>181938106.37100002</v>
      </c>
      <c r="R66" s="71">
        <f t="shared" si="14"/>
        <v>44556270.948000006</v>
      </c>
      <c r="S66" s="71">
        <f t="shared" si="14"/>
        <v>7426045.1580000008</v>
      </c>
      <c r="T66" s="71">
        <f t="shared" si="14"/>
        <v>33417203.211000003</v>
      </c>
      <c r="U66" s="71">
        <f t="shared" si="14"/>
        <v>7426045.1580000008</v>
      </c>
      <c r="V66" s="71">
        <f t="shared" si="14"/>
        <v>0</v>
      </c>
      <c r="W66" s="71">
        <f t="shared" si="14"/>
        <v>0</v>
      </c>
      <c r="X66" s="169">
        <f t="shared" si="8"/>
        <v>596394779.75549984</v>
      </c>
      <c r="Z66" s="180" t="s">
        <v>92</v>
      </c>
      <c r="AA66" s="177">
        <f t="shared" ref="AA66:AH66" si="15">($P$48/100)*D29</f>
        <v>225963945.52199996</v>
      </c>
      <c r="AB66" s="177">
        <f t="shared" si="15"/>
        <v>215203757.63999996</v>
      </c>
      <c r="AC66" s="177">
        <f t="shared" si="15"/>
        <v>53800939.409999989</v>
      </c>
      <c r="AD66" s="177">
        <f t="shared" si="15"/>
        <v>10760187.881999997</v>
      </c>
      <c r="AE66" s="177">
        <f t="shared" si="15"/>
        <v>21520375.763999995</v>
      </c>
      <c r="AF66" s="177">
        <f t="shared" si="15"/>
        <v>5380093.9409999987</v>
      </c>
      <c r="AG66" s="177">
        <f t="shared" si="15"/>
        <v>0</v>
      </c>
      <c r="AH66" s="177">
        <f t="shared" si="15"/>
        <v>0</v>
      </c>
      <c r="AI66" s="178">
        <f t="shared" si="11"/>
        <v>532629300.15899986</v>
      </c>
      <c r="AK66" s="177"/>
    </row>
    <row r="67" spans="3:41" ht="34.799999999999997" x14ac:dyDescent="0.35">
      <c r="C67" s="181">
        <v>2015</v>
      </c>
      <c r="D67" s="174">
        <v>45.1</v>
      </c>
      <c r="E67" s="174">
        <v>36.700000000000003</v>
      </c>
      <c r="F67" s="174">
        <v>8.6999999999999993</v>
      </c>
      <c r="G67" s="174">
        <v>1.4</v>
      </c>
      <c r="H67" s="174">
        <v>6</v>
      </c>
      <c r="I67" s="174">
        <v>1.6</v>
      </c>
      <c r="J67" s="174">
        <v>0.1</v>
      </c>
      <c r="K67" s="174">
        <v>0.5</v>
      </c>
      <c r="L67" s="175">
        <v>8370</v>
      </c>
      <c r="M67" s="159"/>
      <c r="O67" s="56" t="s">
        <v>94</v>
      </c>
      <c r="P67" s="71">
        <f t="shared" ref="P67:W67" si="16">($O$50/100)*D31</f>
        <v>50012140.859999992</v>
      </c>
      <c r="Q67" s="71">
        <f t="shared" si="16"/>
        <v>295071631.07399994</v>
      </c>
      <c r="R67" s="71">
        <f t="shared" si="16"/>
        <v>70016997.203999996</v>
      </c>
      <c r="S67" s="71">
        <f t="shared" si="16"/>
        <v>10002428.171999998</v>
      </c>
      <c r="T67" s="71">
        <f t="shared" si="16"/>
        <v>50012140.859999992</v>
      </c>
      <c r="U67" s="71">
        <f t="shared" si="16"/>
        <v>10002428.171999998</v>
      </c>
      <c r="V67" s="71">
        <f t="shared" si="16"/>
        <v>5001214.0859999992</v>
      </c>
      <c r="W67" s="71">
        <f t="shared" si="16"/>
        <v>5001214.0859999992</v>
      </c>
      <c r="X67" s="169">
        <f t="shared" si="8"/>
        <v>337203070.94999993</v>
      </c>
      <c r="Z67" s="180" t="s">
        <v>93</v>
      </c>
      <c r="AA67" s="177">
        <f t="shared" ref="AA67:AH67" si="17">($P$49/100)*D30</f>
        <v>193077174.10800001</v>
      </c>
      <c r="AB67" s="177">
        <f t="shared" si="17"/>
        <v>363876212.74200004</v>
      </c>
      <c r="AC67" s="177">
        <f t="shared" si="17"/>
        <v>89112541.896000013</v>
      </c>
      <c r="AD67" s="177">
        <f t="shared" si="17"/>
        <v>14852090.316000002</v>
      </c>
      <c r="AE67" s="177">
        <f t="shared" si="17"/>
        <v>66834406.422000006</v>
      </c>
      <c r="AF67" s="177">
        <f t="shared" si="17"/>
        <v>14852090.316000002</v>
      </c>
      <c r="AG67" s="177">
        <f t="shared" si="17"/>
        <v>0</v>
      </c>
      <c r="AH67" s="177">
        <f t="shared" si="17"/>
        <v>0</v>
      </c>
      <c r="AI67" s="178">
        <f t="shared" si="11"/>
        <v>742604515.80000007</v>
      </c>
      <c r="AK67" s="177"/>
    </row>
    <row r="68" spans="3:41" ht="34.799999999999997" x14ac:dyDescent="0.35">
      <c r="C68" s="182">
        <v>2016</v>
      </c>
      <c r="D68" s="174">
        <v>47.8</v>
      </c>
      <c r="E68" s="174">
        <v>35.4</v>
      </c>
      <c r="F68" s="174">
        <v>8.6999999999999993</v>
      </c>
      <c r="G68" s="174">
        <v>1.8</v>
      </c>
      <c r="H68" s="174">
        <v>4.4000000000000004</v>
      </c>
      <c r="I68" s="174">
        <v>1.1000000000000001</v>
      </c>
      <c r="J68" s="174">
        <v>0.1</v>
      </c>
      <c r="K68" s="174">
        <v>0.6</v>
      </c>
      <c r="L68" s="175">
        <v>8910</v>
      </c>
      <c r="M68" s="159"/>
      <c r="O68" s="56" t="s">
        <v>95</v>
      </c>
      <c r="P68" s="71">
        <f t="shared" ref="P68:W68" si="18">($O$51/100)*D32</f>
        <v>18072569.083499998</v>
      </c>
      <c r="Q68" s="71">
        <f t="shared" si="18"/>
        <v>373499761.05899996</v>
      </c>
      <c r="R68" s="71">
        <f t="shared" si="18"/>
        <v>102411224.80649999</v>
      </c>
      <c r="S68" s="71">
        <f t="shared" si="18"/>
        <v>6024189.6944999993</v>
      </c>
      <c r="T68" s="71">
        <f t="shared" si="18"/>
        <v>72290276.333999991</v>
      </c>
      <c r="U68" s="71">
        <f t="shared" si="18"/>
        <v>6024189.6944999993</v>
      </c>
      <c r="V68" s="71">
        <f t="shared" si="18"/>
        <v>12048379.388999999</v>
      </c>
      <c r="W68" s="71">
        <f t="shared" si="18"/>
        <v>6024189.6944999993</v>
      </c>
      <c r="X68" s="169">
        <f t="shared" si="8"/>
        <v>193228726.05000001</v>
      </c>
      <c r="Z68" s="180" t="s">
        <v>94</v>
      </c>
      <c r="AA68" s="177">
        <f t="shared" ref="AA68:AH68" si="19">($P$50/100)*D31</f>
        <v>150036422.57999998</v>
      </c>
      <c r="AB68" s="177">
        <f t="shared" si="19"/>
        <v>885214893.222</v>
      </c>
      <c r="AC68" s="177">
        <f t="shared" si="19"/>
        <v>210050991.61199999</v>
      </c>
      <c r="AD68" s="177">
        <f t="shared" si="19"/>
        <v>30007284.515999999</v>
      </c>
      <c r="AE68" s="177">
        <f t="shared" si="19"/>
        <v>150036422.57999998</v>
      </c>
      <c r="AF68" s="177">
        <f t="shared" si="19"/>
        <v>30007284.515999999</v>
      </c>
      <c r="AG68" s="177">
        <f t="shared" si="19"/>
        <v>15003642.257999999</v>
      </c>
      <c r="AH68" s="177">
        <f t="shared" si="19"/>
        <v>15003642.257999999</v>
      </c>
      <c r="AI68" s="178">
        <f t="shared" si="11"/>
        <v>1485360583.5419998</v>
      </c>
      <c r="AK68" s="177"/>
    </row>
    <row r="69" spans="3:41" ht="34.799999999999997" x14ac:dyDescent="0.35">
      <c r="C69" s="173">
        <v>2017</v>
      </c>
      <c r="D69" s="174">
        <v>45.3</v>
      </c>
      <c r="E69" s="174">
        <v>36.5</v>
      </c>
      <c r="F69" s="174">
        <v>9.5</v>
      </c>
      <c r="G69" s="174">
        <v>2</v>
      </c>
      <c r="H69" s="174">
        <v>4.8</v>
      </c>
      <c r="I69" s="174">
        <v>1.4</v>
      </c>
      <c r="J69" s="174">
        <v>0.1</v>
      </c>
      <c r="K69" s="174">
        <v>0.4</v>
      </c>
      <c r="L69" s="175">
        <v>8100</v>
      </c>
      <c r="M69" s="159"/>
      <c r="O69" s="56" t="s">
        <v>96</v>
      </c>
      <c r="P69" s="71">
        <f t="shared" ref="P69:W69" si="20">($O$52/100)*D33</f>
        <v>6744061.4189999998</v>
      </c>
      <c r="Q69" s="71">
        <f t="shared" si="20"/>
        <v>236042149.66499999</v>
      </c>
      <c r="R69" s="71">
        <f t="shared" si="20"/>
        <v>50580460.642499998</v>
      </c>
      <c r="S69" s="71">
        <f t="shared" si="20"/>
        <v>0</v>
      </c>
      <c r="T69" s="71">
        <f t="shared" si="20"/>
        <v>26976245.675999999</v>
      </c>
      <c r="U69" s="71">
        <f t="shared" si="20"/>
        <v>6744061.4189999998</v>
      </c>
      <c r="V69" s="71">
        <f t="shared" si="20"/>
        <v>10116092.1285</v>
      </c>
      <c r="W69" s="71">
        <f t="shared" si="20"/>
        <v>0</v>
      </c>
      <c r="X69" s="169">
        <f t="shared" si="8"/>
        <v>363838324.75650001</v>
      </c>
      <c r="Z69" s="180" t="s">
        <v>95</v>
      </c>
      <c r="AA69" s="177">
        <f t="shared" ref="AA69:AH69" si="21">($P$51/100)*D32</f>
        <v>90362845.417499989</v>
      </c>
      <c r="AB69" s="177">
        <f t="shared" si="21"/>
        <v>1867498805.2949998</v>
      </c>
      <c r="AC69" s="177">
        <f t="shared" si="21"/>
        <v>512056124.03249991</v>
      </c>
      <c r="AD69" s="177">
        <f t="shared" si="21"/>
        <v>30120948.472499996</v>
      </c>
      <c r="AE69" s="177">
        <f t="shared" si="21"/>
        <v>361451381.66999996</v>
      </c>
      <c r="AF69" s="177">
        <f t="shared" si="21"/>
        <v>30120948.472499996</v>
      </c>
      <c r="AG69" s="177">
        <f t="shared" si="21"/>
        <v>60241896.944999993</v>
      </c>
      <c r="AH69" s="177">
        <f t="shared" si="21"/>
        <v>30120948.472499996</v>
      </c>
      <c r="AI69" s="178">
        <f t="shared" si="11"/>
        <v>2981973898.7774997</v>
      </c>
      <c r="AK69" s="177"/>
    </row>
    <row r="70" spans="3:41" ht="34.799999999999997" x14ac:dyDescent="0.35">
      <c r="C70" s="173">
        <v>2018</v>
      </c>
      <c r="D70" s="174">
        <v>43</v>
      </c>
      <c r="E70" s="174">
        <v>38.299999999999997</v>
      </c>
      <c r="F70" s="174">
        <v>9.3000000000000007</v>
      </c>
      <c r="G70" s="174">
        <v>2</v>
      </c>
      <c r="H70" s="174">
        <v>5.0999999999999996</v>
      </c>
      <c r="I70" s="174">
        <v>1.3</v>
      </c>
      <c r="J70" s="174">
        <v>0.2</v>
      </c>
      <c r="K70" s="174">
        <v>0.7</v>
      </c>
      <c r="L70" s="175">
        <v>7830</v>
      </c>
      <c r="M70" s="159"/>
      <c r="O70" s="56" t="s">
        <v>97</v>
      </c>
      <c r="P70" s="71">
        <f t="shared" ref="P70:W70" si="22">($O$53/100)*D34</f>
        <v>1932287.2604999996</v>
      </c>
      <c r="Q70" s="71">
        <f t="shared" si="22"/>
        <v>137192395.49549997</v>
      </c>
      <c r="R70" s="71">
        <f t="shared" si="22"/>
        <v>23187447.125999995</v>
      </c>
      <c r="S70" s="71">
        <f t="shared" si="22"/>
        <v>0</v>
      </c>
      <c r="T70" s="71">
        <f t="shared" si="22"/>
        <v>17390585.344499998</v>
      </c>
      <c r="U70" s="71">
        <f t="shared" si="22"/>
        <v>1932287.2604999996</v>
      </c>
      <c r="V70" s="71">
        <f t="shared" si="22"/>
        <v>9661436.3024999984</v>
      </c>
      <c r="W70" s="71">
        <f t="shared" si="22"/>
        <v>1932287.2604999996</v>
      </c>
      <c r="X70" s="169">
        <f t="shared" si="8"/>
        <v>238694308.65000001</v>
      </c>
      <c r="Z70" s="180" t="s">
        <v>96</v>
      </c>
      <c r="AA70" s="177">
        <f t="shared" ref="AA70:AH70" si="23">($P$52/100)*D33</f>
        <v>67440614.189999998</v>
      </c>
      <c r="AB70" s="177">
        <f t="shared" si="23"/>
        <v>2360421496.6500001</v>
      </c>
      <c r="AC70" s="177">
        <f t="shared" si="23"/>
        <v>505804606.42499995</v>
      </c>
      <c r="AD70" s="177">
        <f t="shared" si="23"/>
        <v>0</v>
      </c>
      <c r="AE70" s="177">
        <f t="shared" si="23"/>
        <v>269762456.75999999</v>
      </c>
      <c r="AF70" s="177">
        <f t="shared" si="23"/>
        <v>67440614.189999998</v>
      </c>
      <c r="AG70" s="177">
        <f t="shared" si="23"/>
        <v>101160921.285</v>
      </c>
      <c r="AH70" s="177">
        <f t="shared" si="23"/>
        <v>0</v>
      </c>
      <c r="AI70" s="178">
        <f t="shared" si="11"/>
        <v>3372030709.5000005</v>
      </c>
      <c r="AK70" s="177"/>
      <c r="AL70" s="183"/>
    </row>
    <row r="71" spans="3:41" ht="18.600000000000001" thickBot="1" x14ac:dyDescent="0.4">
      <c r="C71" s="184">
        <v>2019</v>
      </c>
      <c r="D71" s="185">
        <v>47.6</v>
      </c>
      <c r="E71" s="186">
        <v>36.4</v>
      </c>
      <c r="F71" s="186">
        <v>8.1999999999999993</v>
      </c>
      <c r="G71" s="186">
        <v>1.6</v>
      </c>
      <c r="H71" s="186">
        <v>4</v>
      </c>
      <c r="I71" s="185">
        <v>1.2</v>
      </c>
      <c r="J71" s="186">
        <v>0.2</v>
      </c>
      <c r="K71" s="186">
        <v>0.7</v>
      </c>
      <c r="L71" s="187">
        <v>8310</v>
      </c>
      <c r="M71" s="159"/>
      <c r="O71" s="56" t="s">
        <v>98</v>
      </c>
      <c r="P71" s="71">
        <f t="shared" ref="P71:W71" si="24">($O$54/100)*D35</f>
        <v>3675134.5934999995</v>
      </c>
      <c r="Q71" s="71">
        <f t="shared" si="24"/>
        <v>253584286.95149997</v>
      </c>
      <c r="R71" s="71">
        <f t="shared" si="24"/>
        <v>47776749.715499997</v>
      </c>
      <c r="S71" s="71">
        <f t="shared" si="24"/>
        <v>3675134.5934999995</v>
      </c>
      <c r="T71" s="71">
        <f t="shared" si="24"/>
        <v>29401076.747999996</v>
      </c>
      <c r="U71" s="71">
        <f t="shared" si="24"/>
        <v>0</v>
      </c>
      <c r="V71" s="71">
        <f t="shared" si="24"/>
        <v>25725942.154499996</v>
      </c>
      <c r="W71" s="71">
        <f t="shared" si="24"/>
        <v>0</v>
      </c>
      <c r="X71" s="169">
        <f>SUM(O77:V77)</f>
        <v>4.0800000000000003E-2</v>
      </c>
      <c r="Z71" s="180" t="s">
        <v>97</v>
      </c>
      <c r="AA71" s="177">
        <f t="shared" ref="AA71:AH71" si="25">($P$53/100)*D34</f>
        <v>28984308.907499991</v>
      </c>
      <c r="AB71" s="177">
        <f t="shared" si="25"/>
        <v>2057885932.4324994</v>
      </c>
      <c r="AC71" s="177">
        <f t="shared" si="25"/>
        <v>347811706.88999987</v>
      </c>
      <c r="AD71" s="177">
        <f t="shared" si="25"/>
        <v>0</v>
      </c>
      <c r="AE71" s="177">
        <f t="shared" si="25"/>
        <v>260858780.16749993</v>
      </c>
      <c r="AF71" s="177">
        <f t="shared" si="25"/>
        <v>28984308.907499991</v>
      </c>
      <c r="AG71" s="177">
        <f t="shared" si="25"/>
        <v>144921544.53749996</v>
      </c>
      <c r="AH71" s="177">
        <f t="shared" si="25"/>
        <v>28984308.907499991</v>
      </c>
      <c r="AI71" s="178">
        <f t="shared" si="11"/>
        <v>2898430890.749999</v>
      </c>
      <c r="AK71" s="177"/>
    </row>
    <row r="72" spans="3:41" ht="18.600000000000001" thickBot="1" x14ac:dyDescent="0.4">
      <c r="C72" s="188">
        <v>2020</v>
      </c>
      <c r="D72" s="189">
        <v>59.5</v>
      </c>
      <c r="E72" s="189">
        <v>33.200000000000003</v>
      </c>
      <c r="F72" s="189">
        <v>3.1</v>
      </c>
      <c r="G72" s="189">
        <v>1.3</v>
      </c>
      <c r="H72" s="189">
        <v>1.7</v>
      </c>
      <c r="I72" s="189">
        <v>0.2</v>
      </c>
      <c r="J72" s="189">
        <v>0</v>
      </c>
      <c r="K72" s="189">
        <v>1.1000000000000001</v>
      </c>
      <c r="L72" s="190">
        <v>1940</v>
      </c>
      <c r="M72" s="159"/>
      <c r="O72" s="57" t="s">
        <v>99</v>
      </c>
      <c r="P72" s="191">
        <f t="shared" ref="P72:W72" si="26">($O$55/100)*D36</f>
        <v>2386943.0865000002</v>
      </c>
      <c r="Q72" s="191">
        <f t="shared" si="26"/>
        <v>162312129.88200003</v>
      </c>
      <c r="R72" s="191">
        <f t="shared" si="26"/>
        <v>40578032.470500007</v>
      </c>
      <c r="S72" s="191">
        <f t="shared" si="26"/>
        <v>0</v>
      </c>
      <c r="T72" s="191">
        <f t="shared" si="26"/>
        <v>11934715.432500001</v>
      </c>
      <c r="U72" s="191">
        <f t="shared" si="26"/>
        <v>2386943.0865000002</v>
      </c>
      <c r="V72" s="191">
        <f t="shared" si="26"/>
        <v>16708601.605500001</v>
      </c>
      <c r="W72" s="191">
        <f t="shared" si="26"/>
        <v>2386943.0865000002</v>
      </c>
      <c r="X72" s="192">
        <f>SUM(O78:V78)</f>
        <v>5.6799999999999996E-2</v>
      </c>
      <c r="Z72" s="180" t="s">
        <v>98</v>
      </c>
      <c r="AA72" s="177">
        <f t="shared" ref="AA72:AH72" si="27">($P$54/100)*D35</f>
        <v>73502691.86999999</v>
      </c>
      <c r="AB72" s="177">
        <f t="shared" si="27"/>
        <v>5071685739.0299997</v>
      </c>
      <c r="AC72" s="177">
        <f t="shared" si="27"/>
        <v>955534994.30999982</v>
      </c>
      <c r="AD72" s="177">
        <f t="shared" si="27"/>
        <v>73502691.86999999</v>
      </c>
      <c r="AE72" s="177">
        <f t="shared" si="27"/>
        <v>588021534.95999992</v>
      </c>
      <c r="AF72" s="177">
        <f t="shared" si="27"/>
        <v>0</v>
      </c>
      <c r="AG72" s="177">
        <f t="shared" si="27"/>
        <v>514518843.08999991</v>
      </c>
      <c r="AH72" s="177">
        <f t="shared" si="27"/>
        <v>0</v>
      </c>
      <c r="AI72" s="178">
        <f t="shared" ref="AI72:AI73" si="28">SUM(AA72:AH72)</f>
        <v>7276766495.1299992</v>
      </c>
      <c r="AJ72" s="638" t="s">
        <v>502</v>
      </c>
      <c r="AK72" s="634"/>
      <c r="AL72" s="634"/>
      <c r="AM72" s="634"/>
      <c r="AN72" s="634"/>
      <c r="AO72" s="635"/>
    </row>
    <row r="73" spans="3:41" ht="35.4" thickBot="1" x14ac:dyDescent="0.4">
      <c r="C73" s="194">
        <v>2021</v>
      </c>
      <c r="D73" s="195">
        <v>56.2</v>
      </c>
      <c r="E73" s="195">
        <v>33</v>
      </c>
      <c r="F73" s="195">
        <v>5.3</v>
      </c>
      <c r="G73" s="195">
        <v>2.6</v>
      </c>
      <c r="H73" s="195">
        <v>2</v>
      </c>
      <c r="I73" s="195">
        <v>0.3</v>
      </c>
      <c r="J73" s="195">
        <v>0.1</v>
      </c>
      <c r="K73" s="195">
        <v>0.5</v>
      </c>
      <c r="L73" s="196">
        <v>8040</v>
      </c>
      <c r="M73" s="197"/>
      <c r="Z73" s="198" t="s">
        <v>99</v>
      </c>
      <c r="AA73" s="199">
        <f t="shared" ref="AA73:AH73" si="29">($P$55/100)*D36</f>
        <v>95477723.459999993</v>
      </c>
      <c r="AB73" s="199">
        <f t="shared" si="29"/>
        <v>6492485195.2799997</v>
      </c>
      <c r="AC73" s="199">
        <f t="shared" si="29"/>
        <v>1623121298.8199999</v>
      </c>
      <c r="AD73" s="199">
        <f t="shared" si="29"/>
        <v>0</v>
      </c>
      <c r="AE73" s="199">
        <f t="shared" si="29"/>
        <v>477388617.29999995</v>
      </c>
      <c r="AF73" s="199">
        <f t="shared" si="29"/>
        <v>95477723.459999993</v>
      </c>
      <c r="AG73" s="199">
        <f t="shared" si="29"/>
        <v>668344064.21999991</v>
      </c>
      <c r="AH73" s="199">
        <f t="shared" si="29"/>
        <v>95477723.459999993</v>
      </c>
      <c r="AI73" s="200">
        <f t="shared" si="28"/>
        <v>9547772345.9999962</v>
      </c>
      <c r="AJ73" s="639">
        <f>AB73/AI64</f>
        <v>0.22314621051219713</v>
      </c>
      <c r="AK73" s="636"/>
      <c r="AL73" s="636"/>
      <c r="AM73" s="636"/>
      <c r="AN73" s="636"/>
      <c r="AO73" s="637"/>
    </row>
    <row r="74" spans="3:41" ht="18.600000000000001" thickBot="1" x14ac:dyDescent="0.4">
      <c r="Z74" s="67"/>
      <c r="AA74" s="177"/>
      <c r="AB74" s="177"/>
      <c r="AC74" s="177"/>
      <c r="AD74" s="177"/>
      <c r="AE74" s="177"/>
      <c r="AF74" s="177"/>
      <c r="AG74" s="177"/>
      <c r="AH74" s="177"/>
      <c r="AI74" s="177"/>
      <c r="AJ74" s="71"/>
      <c r="AK74" s="202"/>
    </row>
    <row r="75" spans="3:41" ht="18.600000000000001" thickBot="1" x14ac:dyDescent="0.4">
      <c r="C75" s="71" t="s">
        <v>540</v>
      </c>
      <c r="O75" s="640" t="s">
        <v>528</v>
      </c>
      <c r="P75" s="641"/>
      <c r="Z75" s="203"/>
      <c r="AA75" s="204"/>
      <c r="AB75" s="204"/>
      <c r="AC75" s="205"/>
      <c r="AD75" s="206" t="s">
        <v>125</v>
      </c>
      <c r="AE75" s="204"/>
      <c r="AF75" s="204"/>
      <c r="AG75" s="204"/>
      <c r="AH75" s="207"/>
      <c r="AI75" s="208"/>
      <c r="AJ75" s="71"/>
      <c r="AK75" s="202"/>
    </row>
    <row r="76" spans="3:41" ht="52.8" thickBot="1" x14ac:dyDescent="0.4">
      <c r="C76" s="55" t="s">
        <v>124</v>
      </c>
      <c r="D76" s="150"/>
      <c r="E76" s="150"/>
      <c r="F76" s="150"/>
      <c r="G76" s="150"/>
      <c r="H76" s="150"/>
      <c r="I76" s="150"/>
      <c r="J76" s="150"/>
      <c r="K76" s="150"/>
      <c r="L76" s="209"/>
      <c r="O76" s="56" t="s">
        <v>90</v>
      </c>
      <c r="P76" s="210">
        <f>((K57/100)*E27)/100</f>
        <v>0.52952900000000003</v>
      </c>
      <c r="Z76" s="211" t="s">
        <v>81</v>
      </c>
      <c r="AA76" s="212" t="s">
        <v>82</v>
      </c>
      <c r="AB76" s="212" t="s">
        <v>83</v>
      </c>
      <c r="AC76" s="212" t="s">
        <v>84</v>
      </c>
      <c r="AD76" s="212" t="s">
        <v>85</v>
      </c>
      <c r="AE76" s="212" t="s">
        <v>86</v>
      </c>
      <c r="AF76" s="212" t="s">
        <v>87</v>
      </c>
      <c r="AG76" s="212" t="s">
        <v>88</v>
      </c>
      <c r="AH76" s="212" t="s">
        <v>89</v>
      </c>
      <c r="AI76" s="213" t="s">
        <v>123</v>
      </c>
      <c r="AJ76" s="71"/>
      <c r="AK76" s="202"/>
    </row>
    <row r="77" spans="3:41" ht="34.799999999999997" x14ac:dyDescent="0.35">
      <c r="C77" s="124" t="s">
        <v>64</v>
      </c>
      <c r="D77" s="158"/>
      <c r="E77" s="158"/>
      <c r="F77" s="158"/>
      <c r="G77" s="158"/>
      <c r="H77" s="158"/>
      <c r="I77" s="158"/>
      <c r="J77" s="158"/>
      <c r="K77" s="158"/>
      <c r="L77" s="214"/>
      <c r="O77" s="56" t="s">
        <v>91</v>
      </c>
      <c r="P77" s="210">
        <f t="shared" ref="P77:P85" si="30">((K47/100)*E28)/100</f>
        <v>4.0800000000000003E-2</v>
      </c>
      <c r="Z77" s="180" t="s">
        <v>90</v>
      </c>
      <c r="AA77" s="177">
        <f>SUM(AA78:AA86)</f>
        <v>1594061213.9414999</v>
      </c>
      <c r="AB77" s="177">
        <f t="shared" ref="AB77:AH77" si="31">SUM(AB78:AB86)</f>
        <v>27565043914.662743</v>
      </c>
      <c r="AC77" s="177">
        <f t="shared" si="31"/>
        <v>6164299464.8789997</v>
      </c>
      <c r="AD77" s="177">
        <f t="shared" si="31"/>
        <v>234659238.19424996</v>
      </c>
      <c r="AE77" s="177">
        <f t="shared" si="31"/>
        <v>3102211420.7617493</v>
      </c>
      <c r="AF77" s="177">
        <f t="shared" si="31"/>
        <v>377667439.46399993</v>
      </c>
      <c r="AG77" s="177">
        <f t="shared" si="31"/>
        <v>2180188349.6264997</v>
      </c>
      <c r="AH77" s="177">
        <f t="shared" si="31"/>
        <v>246726561.57599998</v>
      </c>
      <c r="AI77" s="178">
        <f>SUM(AA77:AH77)</f>
        <v>41464857603.105743</v>
      </c>
      <c r="AJ77" s="71"/>
      <c r="AK77" s="202"/>
    </row>
    <row r="78" spans="3:41" ht="18.600000000000001" thickBot="1" x14ac:dyDescent="0.4">
      <c r="C78" s="126" t="s">
        <v>66</v>
      </c>
      <c r="D78" s="158"/>
      <c r="E78" s="158"/>
      <c r="F78" s="158"/>
      <c r="G78" s="158"/>
      <c r="H78" s="158"/>
      <c r="I78" s="158"/>
      <c r="J78" s="158"/>
      <c r="K78" s="158"/>
      <c r="L78" s="214"/>
      <c r="O78" s="56" t="s">
        <v>92</v>
      </c>
      <c r="P78" s="210">
        <f t="shared" si="30"/>
        <v>5.6799999999999996E-2</v>
      </c>
      <c r="Z78" s="180" t="s">
        <v>91</v>
      </c>
      <c r="AA78" s="177">
        <f t="shared" ref="AA78:AH78" si="32">($R$47/100)*D28</f>
        <v>306589578.66600001</v>
      </c>
      <c r="AB78" s="177">
        <f t="shared" si="32"/>
        <v>108208086.588</v>
      </c>
      <c r="AC78" s="177">
        <f t="shared" si="32"/>
        <v>18034681.098000001</v>
      </c>
      <c r="AD78" s="177">
        <f t="shared" si="32"/>
        <v>4508670.2745000003</v>
      </c>
      <c r="AE78" s="177">
        <f t="shared" si="32"/>
        <v>4508670.2745000003</v>
      </c>
      <c r="AF78" s="177">
        <f t="shared" si="32"/>
        <v>4508670.2745000003</v>
      </c>
      <c r="AG78" s="177">
        <f t="shared" si="32"/>
        <v>0</v>
      </c>
      <c r="AH78" s="177">
        <f t="shared" si="32"/>
        <v>4508670.2745000003</v>
      </c>
      <c r="AI78" s="178">
        <f t="shared" ref="AI78:AI86" si="33">SUM(AA78:AH78)</f>
        <v>450867027.45000005</v>
      </c>
      <c r="AJ78" s="71"/>
      <c r="AK78" s="202"/>
    </row>
    <row r="79" spans="3:41" ht="52.2" x14ac:dyDescent="0.35">
      <c r="C79" s="215" t="s">
        <v>111</v>
      </c>
      <c r="D79" s="167" t="s">
        <v>112</v>
      </c>
      <c r="E79" s="167" t="s">
        <v>113</v>
      </c>
      <c r="F79" s="167" t="s">
        <v>114</v>
      </c>
      <c r="G79" s="167" t="s">
        <v>115</v>
      </c>
      <c r="H79" s="167" t="s">
        <v>116</v>
      </c>
      <c r="I79" s="167" t="s">
        <v>117</v>
      </c>
      <c r="J79" s="167" t="s">
        <v>118</v>
      </c>
      <c r="K79" s="167" t="s">
        <v>119</v>
      </c>
      <c r="L79" s="216" t="s">
        <v>79</v>
      </c>
      <c r="O79" s="56" t="s">
        <v>93</v>
      </c>
      <c r="P79" s="210">
        <f t="shared" si="30"/>
        <v>4.8020000000000007E-2</v>
      </c>
      <c r="Z79" s="180" t="s">
        <v>92</v>
      </c>
      <c r="AA79" s="177">
        <f t="shared" ref="AA79:AH79" si="34">($R$48/100)*D29</f>
        <v>338945918.28299993</v>
      </c>
      <c r="AB79" s="177">
        <f t="shared" si="34"/>
        <v>322805636.45999992</v>
      </c>
      <c r="AC79" s="177">
        <f t="shared" si="34"/>
        <v>80701409.11499998</v>
      </c>
      <c r="AD79" s="177">
        <f t="shared" si="34"/>
        <v>16140281.822999997</v>
      </c>
      <c r="AE79" s="177">
        <f t="shared" si="34"/>
        <v>32280563.645999994</v>
      </c>
      <c r="AF79" s="177">
        <f t="shared" si="34"/>
        <v>8070140.9114999985</v>
      </c>
      <c r="AG79" s="177">
        <f t="shared" si="34"/>
        <v>0</v>
      </c>
      <c r="AH79" s="177">
        <f t="shared" si="34"/>
        <v>0</v>
      </c>
      <c r="AI79" s="178">
        <f t="shared" si="33"/>
        <v>798943950.23849976</v>
      </c>
      <c r="AJ79" s="71"/>
      <c r="AK79" s="202"/>
    </row>
    <row r="80" spans="3:41" ht="34.799999999999997" x14ac:dyDescent="0.35">
      <c r="C80" s="173">
        <v>2012</v>
      </c>
      <c r="D80" s="174">
        <v>36.700000000000003</v>
      </c>
      <c r="E80" s="174">
        <v>40.1</v>
      </c>
      <c r="F80" s="174">
        <v>11</v>
      </c>
      <c r="G80" s="174">
        <v>1.5</v>
      </c>
      <c r="H80" s="174">
        <v>8.1</v>
      </c>
      <c r="I80" s="174">
        <v>1.5</v>
      </c>
      <c r="J80" s="174">
        <v>0.6</v>
      </c>
      <c r="K80" s="174">
        <v>0.5</v>
      </c>
      <c r="L80" s="217">
        <v>13560</v>
      </c>
      <c r="O80" s="56" t="s">
        <v>94</v>
      </c>
      <c r="P80" s="210">
        <f t="shared" si="30"/>
        <v>7.7880000000000005E-2</v>
      </c>
      <c r="Z80" s="180" t="s">
        <v>93</v>
      </c>
      <c r="AA80" s="177">
        <f t="shared" ref="AA80:AH80" si="35">($R$49/100)*D30</f>
        <v>241346467.63500005</v>
      </c>
      <c r="AB80" s="177">
        <f t="shared" si="35"/>
        <v>454845265.92750007</v>
      </c>
      <c r="AC80" s="177">
        <f t="shared" si="35"/>
        <v>111390677.37000002</v>
      </c>
      <c r="AD80" s="177">
        <f t="shared" si="35"/>
        <v>18565112.895000003</v>
      </c>
      <c r="AE80" s="177">
        <f t="shared" si="35"/>
        <v>83543008.027500018</v>
      </c>
      <c r="AF80" s="177">
        <f t="shared" si="35"/>
        <v>18565112.895000003</v>
      </c>
      <c r="AG80" s="177">
        <f t="shared" si="35"/>
        <v>0</v>
      </c>
      <c r="AH80" s="177">
        <f t="shared" si="35"/>
        <v>0</v>
      </c>
      <c r="AI80" s="178">
        <f t="shared" si="33"/>
        <v>928255644.75000012</v>
      </c>
      <c r="AJ80" s="71"/>
      <c r="AK80" s="202"/>
    </row>
    <row r="81" spans="3:41" ht="34.799999999999997" x14ac:dyDescent="0.35">
      <c r="C81" s="173">
        <v>2013</v>
      </c>
      <c r="D81" s="174">
        <v>34.299999999999997</v>
      </c>
      <c r="E81" s="174">
        <v>41.3</v>
      </c>
      <c r="F81" s="174">
        <v>11.6</v>
      </c>
      <c r="G81" s="174">
        <v>1.2</v>
      </c>
      <c r="H81" s="174">
        <v>8.9</v>
      </c>
      <c r="I81" s="174">
        <v>2</v>
      </c>
      <c r="J81" s="174">
        <v>0.4</v>
      </c>
      <c r="K81" s="174">
        <v>0.2</v>
      </c>
      <c r="L81" s="217">
        <v>13570</v>
      </c>
      <c r="O81" s="56" t="s">
        <v>95</v>
      </c>
      <c r="P81" s="210">
        <f t="shared" si="30"/>
        <v>9.8580000000000001E-2</v>
      </c>
      <c r="Z81" s="180" t="s">
        <v>94</v>
      </c>
      <c r="AA81" s="177">
        <f t="shared" ref="AA81:AH81" si="36">($R$50/100)*D31</f>
        <v>200048563.43999997</v>
      </c>
      <c r="AB81" s="177">
        <f t="shared" si="36"/>
        <v>1180286524.2959998</v>
      </c>
      <c r="AC81" s="177">
        <f t="shared" si="36"/>
        <v>280067988.81599998</v>
      </c>
      <c r="AD81" s="177">
        <f t="shared" si="36"/>
        <v>40009712.687999994</v>
      </c>
      <c r="AE81" s="177">
        <f t="shared" si="36"/>
        <v>200048563.43999997</v>
      </c>
      <c r="AF81" s="177">
        <f t="shared" si="36"/>
        <v>40009712.687999994</v>
      </c>
      <c r="AG81" s="177">
        <f t="shared" si="36"/>
        <v>20004856.343999997</v>
      </c>
      <c r="AH81" s="177">
        <f t="shared" si="36"/>
        <v>20004856.343999997</v>
      </c>
      <c r="AI81" s="178">
        <f t="shared" si="33"/>
        <v>1980480778.056</v>
      </c>
      <c r="AJ81" s="71"/>
      <c r="AK81" s="202"/>
    </row>
    <row r="82" spans="3:41" ht="34.799999999999997" x14ac:dyDescent="0.35">
      <c r="C82" s="173">
        <v>2014</v>
      </c>
      <c r="D82" s="174">
        <v>36.6</v>
      </c>
      <c r="E82" s="174">
        <v>39.9</v>
      </c>
      <c r="F82" s="174">
        <v>11</v>
      </c>
      <c r="G82" s="174">
        <v>1.8</v>
      </c>
      <c r="H82" s="174">
        <v>8.5</v>
      </c>
      <c r="I82" s="174">
        <v>1.5</v>
      </c>
      <c r="J82" s="174">
        <v>0.4</v>
      </c>
      <c r="K82" s="174">
        <v>0.4</v>
      </c>
      <c r="L82" s="217">
        <v>13400</v>
      </c>
      <c r="O82" s="56" t="s">
        <v>96</v>
      </c>
      <c r="P82" s="210">
        <f t="shared" si="30"/>
        <v>6.2300000000000001E-2</v>
      </c>
      <c r="Z82" s="180" t="s">
        <v>95</v>
      </c>
      <c r="AA82" s="177">
        <f t="shared" ref="AA82:AH82" si="37">($R$51/100)*D32</f>
        <v>135544268.12624997</v>
      </c>
      <c r="AB82" s="177">
        <f t="shared" si="37"/>
        <v>2801248207.9424992</v>
      </c>
      <c r="AC82" s="177">
        <f t="shared" si="37"/>
        <v>768084186.0487498</v>
      </c>
      <c r="AD82" s="177">
        <f t="shared" si="37"/>
        <v>45181422.708749987</v>
      </c>
      <c r="AE82" s="177">
        <f t="shared" si="37"/>
        <v>542177072.50499988</v>
      </c>
      <c r="AF82" s="177">
        <f t="shared" si="37"/>
        <v>45181422.708749987</v>
      </c>
      <c r="AG82" s="177">
        <f t="shared" si="37"/>
        <v>90362845.417499974</v>
      </c>
      <c r="AH82" s="177">
        <f t="shared" si="37"/>
        <v>45181422.708749987</v>
      </c>
      <c r="AI82" s="178">
        <f t="shared" si="33"/>
        <v>4472960848.1662474</v>
      </c>
      <c r="AJ82" s="71"/>
      <c r="AK82" s="202"/>
    </row>
    <row r="83" spans="3:41" ht="34.799999999999997" x14ac:dyDescent="0.35">
      <c r="C83" s="173">
        <v>2015</v>
      </c>
      <c r="D83" s="174">
        <v>32</v>
      </c>
      <c r="E83" s="174">
        <v>43</v>
      </c>
      <c r="F83" s="174">
        <v>10.9</v>
      </c>
      <c r="G83" s="174">
        <v>1.5</v>
      </c>
      <c r="H83" s="174">
        <v>9.6</v>
      </c>
      <c r="I83" s="174">
        <v>1.6</v>
      </c>
      <c r="J83" s="174">
        <v>0.6</v>
      </c>
      <c r="K83" s="174">
        <v>0.8</v>
      </c>
      <c r="L83" s="217">
        <v>12280</v>
      </c>
      <c r="O83" s="56" t="s">
        <v>97</v>
      </c>
      <c r="P83" s="210">
        <f t="shared" si="30"/>
        <v>3.6209999999999992E-2</v>
      </c>
      <c r="Z83" s="180" t="s">
        <v>96</v>
      </c>
      <c r="AA83" s="177">
        <f t="shared" ref="AA83:AH83" si="38">($R$52/100)*D33</f>
        <v>84300767.737499997</v>
      </c>
      <c r="AB83" s="177">
        <f t="shared" si="38"/>
        <v>2950526870.8125</v>
      </c>
      <c r="AC83" s="177">
        <f t="shared" si="38"/>
        <v>632255758.03125</v>
      </c>
      <c r="AD83" s="177">
        <f t="shared" si="38"/>
        <v>0</v>
      </c>
      <c r="AE83" s="177">
        <f t="shared" si="38"/>
        <v>337203070.94999999</v>
      </c>
      <c r="AF83" s="177">
        <f t="shared" si="38"/>
        <v>84300767.737499997</v>
      </c>
      <c r="AG83" s="177">
        <f t="shared" si="38"/>
        <v>126451151.60624999</v>
      </c>
      <c r="AH83" s="177">
        <f t="shared" si="38"/>
        <v>0</v>
      </c>
      <c r="AI83" s="178">
        <f t="shared" si="33"/>
        <v>4215038386.875</v>
      </c>
      <c r="AJ83" s="71"/>
      <c r="AK83" s="202"/>
    </row>
    <row r="84" spans="3:41" ht="18.600000000000001" thickBot="1" x14ac:dyDescent="0.4">
      <c r="C84" s="173">
        <v>2016</v>
      </c>
      <c r="D84" s="174">
        <v>34.700000000000003</v>
      </c>
      <c r="E84" s="174">
        <v>42.5</v>
      </c>
      <c r="F84" s="174">
        <v>11.1</v>
      </c>
      <c r="G84" s="174">
        <v>1.6</v>
      </c>
      <c r="H84" s="174">
        <v>7.7</v>
      </c>
      <c r="I84" s="174">
        <v>1.2</v>
      </c>
      <c r="J84" s="174">
        <v>0.6</v>
      </c>
      <c r="K84" s="174">
        <v>0.7</v>
      </c>
      <c r="L84" s="217">
        <v>12740</v>
      </c>
      <c r="O84" s="56" t="s">
        <v>98</v>
      </c>
      <c r="P84" s="210">
        <f t="shared" si="30"/>
        <v>6.692999999999999E-2</v>
      </c>
      <c r="Z84" s="180" t="s">
        <v>97</v>
      </c>
      <c r="AA84" s="177">
        <f t="shared" ref="AA84:AH84" si="39">($R$53/100)*D34</f>
        <v>33815027.058749989</v>
      </c>
      <c r="AB84" s="177">
        <f t="shared" si="39"/>
        <v>2400866921.1712494</v>
      </c>
      <c r="AC84" s="177">
        <f t="shared" si="39"/>
        <v>405780324.70499986</v>
      </c>
      <c r="AD84" s="177">
        <f t="shared" si="39"/>
        <v>0</v>
      </c>
      <c r="AE84" s="177">
        <f t="shared" si="39"/>
        <v>304335243.52874988</v>
      </c>
      <c r="AF84" s="177">
        <f t="shared" si="39"/>
        <v>33815027.058749989</v>
      </c>
      <c r="AG84" s="177">
        <f t="shared" si="39"/>
        <v>169075135.29374993</v>
      </c>
      <c r="AH84" s="177">
        <f t="shared" si="39"/>
        <v>33815027.058749989</v>
      </c>
      <c r="AI84" s="178">
        <f t="shared" si="33"/>
        <v>3381502705.8749995</v>
      </c>
      <c r="AJ84" s="71"/>
      <c r="AK84" s="202"/>
    </row>
    <row r="85" spans="3:41" ht="18.600000000000001" thickBot="1" x14ac:dyDescent="0.4">
      <c r="C85" s="173">
        <v>2017</v>
      </c>
      <c r="D85" s="174">
        <v>31.4</v>
      </c>
      <c r="E85" s="174">
        <v>44</v>
      </c>
      <c r="F85" s="174">
        <v>11.1</v>
      </c>
      <c r="G85" s="174">
        <v>1.8</v>
      </c>
      <c r="H85" s="174">
        <v>8.5</v>
      </c>
      <c r="I85" s="174">
        <v>1.5</v>
      </c>
      <c r="J85" s="174">
        <v>1</v>
      </c>
      <c r="K85" s="174">
        <v>0.5</v>
      </c>
      <c r="L85" s="217">
        <v>11960</v>
      </c>
      <c r="O85" s="57" t="s">
        <v>99</v>
      </c>
      <c r="P85" s="218">
        <f t="shared" si="30"/>
        <v>4.2839999999999996E-2</v>
      </c>
      <c r="Z85" s="180" t="s">
        <v>98</v>
      </c>
      <c r="AA85" s="177">
        <f t="shared" ref="AA85:AH85" si="40">($R$54/100)*D35</f>
        <v>110254037.80499998</v>
      </c>
      <c r="AB85" s="177">
        <f t="shared" si="40"/>
        <v>7607528608.5449982</v>
      </c>
      <c r="AC85" s="177">
        <f t="shared" si="40"/>
        <v>1433302491.4649997</v>
      </c>
      <c r="AD85" s="177">
        <f t="shared" si="40"/>
        <v>110254037.80499998</v>
      </c>
      <c r="AE85" s="177">
        <f t="shared" si="40"/>
        <v>882032302.43999982</v>
      </c>
      <c r="AF85" s="177">
        <f t="shared" si="40"/>
        <v>0</v>
      </c>
      <c r="AG85" s="177">
        <f t="shared" si="40"/>
        <v>771778264.63499987</v>
      </c>
      <c r="AH85" s="177">
        <f t="shared" si="40"/>
        <v>0</v>
      </c>
      <c r="AI85" s="178">
        <f t="shared" si="33"/>
        <v>10915149742.695</v>
      </c>
      <c r="AJ85" s="634" t="s">
        <v>502</v>
      </c>
      <c r="AK85" s="634"/>
      <c r="AL85" s="634"/>
      <c r="AM85" s="634"/>
      <c r="AN85" s="634"/>
      <c r="AO85" s="635"/>
    </row>
    <row r="86" spans="3:41" ht="35.4" thickBot="1" x14ac:dyDescent="0.4">
      <c r="C86" s="173">
        <v>2018</v>
      </c>
      <c r="D86" s="174">
        <v>30.3</v>
      </c>
      <c r="E86" s="174">
        <v>44.5</v>
      </c>
      <c r="F86" s="174">
        <v>11.2</v>
      </c>
      <c r="G86" s="174">
        <v>1.8</v>
      </c>
      <c r="H86" s="174">
        <v>8.6999999999999993</v>
      </c>
      <c r="I86" s="174">
        <v>1.6</v>
      </c>
      <c r="J86" s="174">
        <v>0.9</v>
      </c>
      <c r="K86" s="174">
        <v>0.9</v>
      </c>
      <c r="L86" s="217">
        <v>11530</v>
      </c>
      <c r="Z86" s="198" t="s">
        <v>99</v>
      </c>
      <c r="AA86" s="199">
        <f t="shared" ref="AA86:AH86" si="41">($R$55/100)*D36</f>
        <v>143216585.19</v>
      </c>
      <c r="AB86" s="199">
        <f t="shared" si="41"/>
        <v>9738727792.9200001</v>
      </c>
      <c r="AC86" s="199">
        <f t="shared" si="41"/>
        <v>2434681948.23</v>
      </c>
      <c r="AD86" s="199">
        <f t="shared" si="41"/>
        <v>0</v>
      </c>
      <c r="AE86" s="199">
        <f t="shared" si="41"/>
        <v>716082925.95000005</v>
      </c>
      <c r="AF86" s="199">
        <f t="shared" si="41"/>
        <v>143216585.19</v>
      </c>
      <c r="AG86" s="199">
        <f t="shared" si="41"/>
        <v>1002516096.3299999</v>
      </c>
      <c r="AH86" s="199">
        <f t="shared" si="41"/>
        <v>143216585.19</v>
      </c>
      <c r="AI86" s="200">
        <f t="shared" si="33"/>
        <v>14321658519.000002</v>
      </c>
      <c r="AJ86" s="636">
        <f>AB86/AI77</f>
        <v>0.2348670261004481</v>
      </c>
      <c r="AK86" s="636"/>
      <c r="AL86" s="636"/>
      <c r="AM86" s="636"/>
      <c r="AN86" s="636"/>
      <c r="AO86" s="637"/>
    </row>
    <row r="87" spans="3:41" ht="18.600000000000001" thickBot="1" x14ac:dyDescent="0.4">
      <c r="C87" s="173">
        <v>2019</v>
      </c>
      <c r="D87" s="186">
        <v>33.4</v>
      </c>
      <c r="E87" s="186">
        <v>44.3</v>
      </c>
      <c r="F87" s="186">
        <v>10.9</v>
      </c>
      <c r="G87" s="185">
        <v>1.7</v>
      </c>
      <c r="H87" s="186">
        <v>6.5</v>
      </c>
      <c r="I87" s="186">
        <v>1.4</v>
      </c>
      <c r="J87" s="186">
        <v>0.9</v>
      </c>
      <c r="K87" s="186">
        <v>0.9</v>
      </c>
      <c r="L87" s="219">
        <v>12170</v>
      </c>
      <c r="Z87" s="67"/>
      <c r="AA87" s="177"/>
      <c r="AB87" s="177"/>
      <c r="AC87" s="177"/>
      <c r="AD87" s="177"/>
      <c r="AE87" s="177"/>
      <c r="AF87" s="177"/>
      <c r="AG87" s="177"/>
      <c r="AH87" s="177"/>
      <c r="AI87" s="177"/>
      <c r="AJ87" s="71"/>
      <c r="AK87" s="202"/>
    </row>
    <row r="88" spans="3:41" ht="18.600000000000001" thickBot="1" x14ac:dyDescent="0.4">
      <c r="C88" s="188">
        <v>2020</v>
      </c>
      <c r="D88" s="220">
        <v>47.3</v>
      </c>
      <c r="E88" s="220">
        <v>41.7</v>
      </c>
      <c r="F88" s="220">
        <v>5.5</v>
      </c>
      <c r="G88" s="220">
        <v>1.6</v>
      </c>
      <c r="H88" s="220">
        <v>2.6</v>
      </c>
      <c r="I88" s="220">
        <v>0.2</v>
      </c>
      <c r="J88" s="220">
        <v>0.1</v>
      </c>
      <c r="K88" s="220">
        <v>0.9</v>
      </c>
      <c r="L88" s="221">
        <v>2730</v>
      </c>
      <c r="Z88" s="203"/>
      <c r="AA88" s="204"/>
      <c r="AB88" s="204"/>
      <c r="AC88" s="205"/>
      <c r="AD88" s="206" t="s">
        <v>126</v>
      </c>
      <c r="AE88" s="204"/>
      <c r="AF88" s="204"/>
      <c r="AG88" s="204"/>
      <c r="AH88" s="207"/>
      <c r="AI88" s="208"/>
      <c r="AJ88" s="71"/>
      <c r="AK88" s="202"/>
    </row>
    <row r="89" spans="3:41" ht="52.8" thickBot="1" x14ac:dyDescent="0.4">
      <c r="C89" s="222">
        <v>2021</v>
      </c>
      <c r="D89" s="223">
        <v>42.2</v>
      </c>
      <c r="E89" s="223">
        <v>40.799999999999997</v>
      </c>
      <c r="F89" s="223">
        <v>8.6</v>
      </c>
      <c r="G89" s="223">
        <v>2.8</v>
      </c>
      <c r="H89" s="223">
        <v>4</v>
      </c>
      <c r="I89" s="223">
        <v>0.6</v>
      </c>
      <c r="J89" s="223">
        <v>0.5</v>
      </c>
      <c r="K89" s="223">
        <v>0.6</v>
      </c>
      <c r="L89" s="224">
        <v>11380</v>
      </c>
      <c r="Z89" s="211" t="s">
        <v>81</v>
      </c>
      <c r="AA89" s="212" t="s">
        <v>82</v>
      </c>
      <c r="AB89" s="212" t="s">
        <v>83</v>
      </c>
      <c r="AC89" s="212" t="s">
        <v>84</v>
      </c>
      <c r="AD89" s="212" t="s">
        <v>85</v>
      </c>
      <c r="AE89" s="212" t="s">
        <v>86</v>
      </c>
      <c r="AF89" s="212" t="s">
        <v>87</v>
      </c>
      <c r="AG89" s="212" t="s">
        <v>88</v>
      </c>
      <c r="AH89" s="212" t="s">
        <v>89</v>
      </c>
      <c r="AI89" s="213" t="s">
        <v>123</v>
      </c>
      <c r="AJ89" s="71"/>
      <c r="AK89" s="202"/>
    </row>
    <row r="90" spans="3:41" ht="34.799999999999997" x14ac:dyDescent="0.35">
      <c r="Z90" s="180" t="s">
        <v>90</v>
      </c>
      <c r="AA90" s="177">
        <f>SUM(AA91:AA99)</f>
        <v>2003990273.0587497</v>
      </c>
      <c r="AB90" s="177">
        <f t="shared" ref="AB90:AH90" si="42">SUM(AB91:AB99)</f>
        <v>35569271097.788399</v>
      </c>
      <c r="AC90" s="177">
        <f t="shared" si="42"/>
        <v>7979190802.3072491</v>
      </c>
      <c r="AD90" s="177">
        <f t="shared" si="42"/>
        <v>303065996.01450002</v>
      </c>
      <c r="AE90" s="177">
        <f t="shared" si="42"/>
        <v>3980227596.73875</v>
      </c>
      <c r="AF90" s="177">
        <f t="shared" si="42"/>
        <v>476100425.79299998</v>
      </c>
      <c r="AG90" s="177">
        <f t="shared" si="42"/>
        <v>2849930480.5114498</v>
      </c>
      <c r="AH90" s="177">
        <f t="shared" si="42"/>
        <v>319350252.18239999</v>
      </c>
      <c r="AI90" s="178">
        <f>SUM(AA90:AH90)</f>
        <v>53481126924.394501</v>
      </c>
      <c r="AJ90" s="71"/>
      <c r="AK90" s="202"/>
    </row>
    <row r="91" spans="3:41" ht="18.600000000000001" thickBot="1" x14ac:dyDescent="0.4">
      <c r="C91" s="71" t="s">
        <v>539</v>
      </c>
      <c r="Z91" s="180" t="s">
        <v>91</v>
      </c>
      <c r="AA91" s="177">
        <f t="shared" ref="AA91:AH91" si="43">($T$47/100)*D28</f>
        <v>394186601.14199996</v>
      </c>
      <c r="AB91" s="177">
        <f t="shared" si="43"/>
        <v>139124682.75599998</v>
      </c>
      <c r="AC91" s="177">
        <f t="shared" si="43"/>
        <v>23187447.125999998</v>
      </c>
      <c r="AD91" s="177">
        <f t="shared" si="43"/>
        <v>5796861.7814999996</v>
      </c>
      <c r="AE91" s="177">
        <f t="shared" si="43"/>
        <v>5796861.7814999996</v>
      </c>
      <c r="AF91" s="177">
        <f t="shared" si="43"/>
        <v>5796861.7814999996</v>
      </c>
      <c r="AG91" s="177">
        <f t="shared" si="43"/>
        <v>0</v>
      </c>
      <c r="AH91" s="177">
        <f t="shared" si="43"/>
        <v>5796861.7814999996</v>
      </c>
      <c r="AI91" s="178">
        <f t="shared" ref="AI91:AI99" si="44">SUM(AA91:AH91)</f>
        <v>579686178.14999986</v>
      </c>
      <c r="AJ91" s="71"/>
      <c r="AK91" s="202"/>
    </row>
    <row r="92" spans="3:41" ht="34.799999999999997" x14ac:dyDescent="0.35">
      <c r="C92" s="58" t="s">
        <v>127</v>
      </c>
      <c r="D92" s="225"/>
      <c r="E92" s="225"/>
      <c r="F92" s="225"/>
      <c r="G92" s="225"/>
      <c r="H92" s="225"/>
      <c r="I92" s="226"/>
      <c r="J92" s="226"/>
      <c r="K92" s="227"/>
      <c r="Z92" s="180" t="s">
        <v>92</v>
      </c>
      <c r="AA92" s="177">
        <f t="shared" ref="AA92:AH92" si="45">($T$48/100)*D29</f>
        <v>429331496.49179983</v>
      </c>
      <c r="AB92" s="177">
        <f t="shared" si="45"/>
        <v>408887139.51599985</v>
      </c>
      <c r="AC92" s="177">
        <f t="shared" si="45"/>
        <v>102221784.87899996</v>
      </c>
      <c r="AD92" s="177">
        <f t="shared" si="45"/>
        <v>20444356.975799993</v>
      </c>
      <c r="AE92" s="177">
        <f t="shared" si="45"/>
        <v>40888713.951599985</v>
      </c>
      <c r="AF92" s="177">
        <f t="shared" si="45"/>
        <v>10222178.487899996</v>
      </c>
      <c r="AG92" s="177">
        <f t="shared" si="45"/>
        <v>0</v>
      </c>
      <c r="AH92" s="177">
        <f t="shared" si="45"/>
        <v>0</v>
      </c>
      <c r="AI92" s="178">
        <f t="shared" si="44"/>
        <v>1011995670.3020996</v>
      </c>
      <c r="AJ92" s="71"/>
      <c r="AK92" s="202"/>
    </row>
    <row r="93" spans="3:41" ht="34.799999999999997" x14ac:dyDescent="0.35">
      <c r="C93" s="228" t="s">
        <v>64</v>
      </c>
      <c r="D93" s="229"/>
      <c r="E93" s="229"/>
      <c r="F93" s="229"/>
      <c r="G93" s="229"/>
      <c r="H93" s="229"/>
      <c r="I93" s="230"/>
      <c r="J93" s="230"/>
      <c r="K93" s="231"/>
      <c r="Z93" s="180" t="s">
        <v>93</v>
      </c>
      <c r="AA93" s="177">
        <f t="shared" ref="AA93:AH93" si="46">($T$49/100)*D30</f>
        <v>279961902.45660001</v>
      </c>
      <c r="AB93" s="177">
        <f t="shared" si="46"/>
        <v>527620508.47589999</v>
      </c>
      <c r="AC93" s="177">
        <f t="shared" si="46"/>
        <v>129213185.7492</v>
      </c>
      <c r="AD93" s="177">
        <f t="shared" si="46"/>
        <v>21535530.9582</v>
      </c>
      <c r="AE93" s="177">
        <f t="shared" si="46"/>
        <v>96909889.311900005</v>
      </c>
      <c r="AF93" s="177">
        <f t="shared" si="46"/>
        <v>21535530.9582</v>
      </c>
      <c r="AG93" s="177">
        <f t="shared" si="46"/>
        <v>0</v>
      </c>
      <c r="AH93" s="177">
        <f t="shared" si="46"/>
        <v>0</v>
      </c>
      <c r="AI93" s="178">
        <f t="shared" si="44"/>
        <v>1076776547.9100001</v>
      </c>
      <c r="AJ93" s="71"/>
      <c r="AK93" s="202"/>
    </row>
    <row r="94" spans="3:41" ht="34.799999999999997" x14ac:dyDescent="0.35">
      <c r="C94" s="228" t="s">
        <v>66</v>
      </c>
      <c r="D94" s="229"/>
      <c r="E94" s="229"/>
      <c r="F94" s="229"/>
      <c r="G94" s="229"/>
      <c r="H94" s="229"/>
      <c r="I94" s="230"/>
      <c r="J94" s="230"/>
      <c r="K94" s="231"/>
      <c r="Z94" s="180" t="s">
        <v>94</v>
      </c>
      <c r="AA94" s="177">
        <f t="shared" ref="AA94:AH94" si="47">($T$50/100)*D31</f>
        <v>245059490.21399999</v>
      </c>
      <c r="AB94" s="177">
        <f t="shared" si="47"/>
        <v>1445850992.2625999</v>
      </c>
      <c r="AC94" s="177">
        <f t="shared" si="47"/>
        <v>343083286.29959995</v>
      </c>
      <c r="AD94" s="177">
        <f t="shared" si="47"/>
        <v>49011898.042799994</v>
      </c>
      <c r="AE94" s="177">
        <f t="shared" si="47"/>
        <v>245059490.21399999</v>
      </c>
      <c r="AF94" s="177">
        <f t="shared" si="47"/>
        <v>49011898.042799994</v>
      </c>
      <c r="AG94" s="177">
        <f t="shared" si="47"/>
        <v>24505949.021399997</v>
      </c>
      <c r="AH94" s="177">
        <f t="shared" si="47"/>
        <v>24505949.021399997</v>
      </c>
      <c r="AI94" s="178">
        <f t="shared" si="44"/>
        <v>2426088953.1185999</v>
      </c>
      <c r="AJ94" s="71"/>
      <c r="AK94" s="202"/>
    </row>
    <row r="95" spans="3:41" ht="34.799999999999997" x14ac:dyDescent="0.35">
      <c r="C95" s="232" t="s">
        <v>67</v>
      </c>
      <c r="D95" s="233" t="s">
        <v>82</v>
      </c>
      <c r="E95" s="233" t="s">
        <v>83</v>
      </c>
      <c r="F95" s="233" t="s">
        <v>84</v>
      </c>
      <c r="G95" s="233" t="s">
        <v>85</v>
      </c>
      <c r="H95" s="233" t="s">
        <v>86</v>
      </c>
      <c r="I95" s="233" t="s">
        <v>87</v>
      </c>
      <c r="J95" s="233" t="s">
        <v>88</v>
      </c>
      <c r="K95" s="234" t="s">
        <v>89</v>
      </c>
      <c r="Z95" s="180" t="s">
        <v>95</v>
      </c>
      <c r="AA95" s="177">
        <f t="shared" ref="AA95:AH95" si="48">($T$51/100)*D32</f>
        <v>178918433.92664999</v>
      </c>
      <c r="AB95" s="177">
        <f t="shared" si="48"/>
        <v>3697647634.4840999</v>
      </c>
      <c r="AC95" s="177">
        <f t="shared" si="48"/>
        <v>1013871125.5843499</v>
      </c>
      <c r="AD95" s="177">
        <f t="shared" si="48"/>
        <v>59639477.975549996</v>
      </c>
      <c r="AE95" s="177">
        <f t="shared" si="48"/>
        <v>715673735.70659995</v>
      </c>
      <c r="AF95" s="177">
        <f t="shared" si="48"/>
        <v>59639477.975549996</v>
      </c>
      <c r="AG95" s="177">
        <f t="shared" si="48"/>
        <v>119278955.95109999</v>
      </c>
      <c r="AH95" s="177">
        <f t="shared" si="48"/>
        <v>59639477.975549996</v>
      </c>
      <c r="AI95" s="178">
        <f t="shared" si="44"/>
        <v>5904308319.5794497</v>
      </c>
      <c r="AJ95" s="71"/>
      <c r="AK95" s="202"/>
    </row>
    <row r="96" spans="3:41" ht="34.799999999999997" x14ac:dyDescent="0.35">
      <c r="C96" s="235" t="s">
        <v>128</v>
      </c>
      <c r="D96" s="236">
        <v>0.2</v>
      </c>
      <c r="E96" s="236">
        <v>1.3</v>
      </c>
      <c r="F96" s="236">
        <v>1.5</v>
      </c>
      <c r="G96" s="236">
        <v>0.8</v>
      </c>
      <c r="H96" s="236">
        <v>2.1</v>
      </c>
      <c r="I96" s="236">
        <v>1.4</v>
      </c>
      <c r="J96" s="236">
        <v>5.2</v>
      </c>
      <c r="K96" s="237">
        <v>1</v>
      </c>
      <c r="Z96" s="180" t="s">
        <v>96</v>
      </c>
      <c r="AA96" s="177">
        <f t="shared" ref="AA96:AH96" si="49">($T$52/100)*D33</f>
        <v>100486515.14309999</v>
      </c>
      <c r="AB96" s="177">
        <f t="shared" si="49"/>
        <v>3517028030.0084996</v>
      </c>
      <c r="AC96" s="177">
        <f t="shared" si="49"/>
        <v>753648863.57324994</v>
      </c>
      <c r="AD96" s="177">
        <f t="shared" si="49"/>
        <v>0</v>
      </c>
      <c r="AE96" s="177">
        <f t="shared" si="49"/>
        <v>401946060.57239997</v>
      </c>
      <c r="AF96" s="177">
        <f t="shared" si="49"/>
        <v>100486515.14309999</v>
      </c>
      <c r="AG96" s="177">
        <f t="shared" si="49"/>
        <v>150729772.71464998</v>
      </c>
      <c r="AH96" s="177">
        <f t="shared" si="49"/>
        <v>0</v>
      </c>
      <c r="AI96" s="178">
        <f t="shared" si="44"/>
        <v>5024325757.1549997</v>
      </c>
      <c r="AJ96" s="71"/>
      <c r="AK96" s="202"/>
    </row>
    <row r="97" spans="3:41" ht="18.600000000000001" thickBot="1" x14ac:dyDescent="0.4">
      <c r="C97" s="232" t="s">
        <v>129</v>
      </c>
      <c r="D97" s="238">
        <v>0.6</v>
      </c>
      <c r="E97" s="238">
        <v>2.6</v>
      </c>
      <c r="F97" s="238">
        <v>3.5</v>
      </c>
      <c r="G97" s="238">
        <v>1.6</v>
      </c>
      <c r="H97" s="238">
        <v>3.5</v>
      </c>
      <c r="I97" s="238">
        <v>2.8</v>
      </c>
      <c r="J97" s="238">
        <v>10.3</v>
      </c>
      <c r="K97" s="239">
        <v>3.3</v>
      </c>
      <c r="Z97" s="180" t="s">
        <v>97</v>
      </c>
      <c r="AA97" s="177">
        <f t="shared" ref="AA97:AH97" si="50">($T$53/100)*D34</f>
        <v>38452516.483949989</v>
      </c>
      <c r="AB97" s="177">
        <f t="shared" si="50"/>
        <v>2730128670.3604493</v>
      </c>
      <c r="AC97" s="177">
        <f t="shared" si="50"/>
        <v>461430197.80739987</v>
      </c>
      <c r="AD97" s="177">
        <f t="shared" si="50"/>
        <v>0</v>
      </c>
      <c r="AE97" s="177">
        <f t="shared" si="50"/>
        <v>346072648.35554993</v>
      </c>
      <c r="AF97" s="177">
        <f t="shared" si="50"/>
        <v>38452516.483949989</v>
      </c>
      <c r="AG97" s="177">
        <f t="shared" si="50"/>
        <v>192262582.41974995</v>
      </c>
      <c r="AH97" s="177">
        <f t="shared" si="50"/>
        <v>38452516.483949989</v>
      </c>
      <c r="AI97" s="178">
        <f t="shared" si="44"/>
        <v>3845251648.394999</v>
      </c>
      <c r="AJ97" s="71"/>
      <c r="AK97" s="202"/>
    </row>
    <row r="98" spans="3:41" x14ac:dyDescent="0.35">
      <c r="C98" s="232" t="s">
        <v>77</v>
      </c>
      <c r="D98" s="238">
        <v>1.1000000000000001</v>
      </c>
      <c r="E98" s="238">
        <v>6.6</v>
      </c>
      <c r="F98" s="238">
        <v>7.1</v>
      </c>
      <c r="G98" s="238">
        <v>3.1</v>
      </c>
      <c r="H98" s="238">
        <v>5.7</v>
      </c>
      <c r="I98" s="238">
        <v>5.8</v>
      </c>
      <c r="J98" s="238">
        <v>18.7</v>
      </c>
      <c r="K98" s="239">
        <v>8.3000000000000007</v>
      </c>
      <c r="Z98" s="180" t="s">
        <v>98</v>
      </c>
      <c r="AA98" s="177">
        <f t="shared" ref="AA98:AH98" si="51">($T$54/100)*D35</f>
        <v>146637870.28064999</v>
      </c>
      <c r="AB98" s="177">
        <f t="shared" si="51"/>
        <v>10118013049.364849</v>
      </c>
      <c r="AC98" s="177">
        <f t="shared" si="51"/>
        <v>1906292313.6484499</v>
      </c>
      <c r="AD98" s="177">
        <f t="shared" si="51"/>
        <v>146637870.28064999</v>
      </c>
      <c r="AE98" s="177">
        <f t="shared" si="51"/>
        <v>1173102962.2451999</v>
      </c>
      <c r="AF98" s="177">
        <f t="shared" si="51"/>
        <v>0</v>
      </c>
      <c r="AG98" s="177">
        <f t="shared" si="51"/>
        <v>1026465091.9645499</v>
      </c>
      <c r="AH98" s="177">
        <f t="shared" si="51"/>
        <v>0</v>
      </c>
      <c r="AI98" s="178">
        <f t="shared" si="44"/>
        <v>14517149157.784348</v>
      </c>
      <c r="AJ98" s="193" t="s">
        <v>502</v>
      </c>
      <c r="AK98" s="156"/>
      <c r="AL98" s="156"/>
      <c r="AM98" s="156"/>
      <c r="AN98" s="156"/>
      <c r="AO98" s="152"/>
    </row>
    <row r="99" spans="3:41" ht="35.4" thickBot="1" x14ac:dyDescent="0.4">
      <c r="C99" s="232" t="s">
        <v>130</v>
      </c>
      <c r="D99" s="238">
        <v>2.1</v>
      </c>
      <c r="E99" s="238">
        <v>17.3</v>
      </c>
      <c r="F99" s="238">
        <v>20</v>
      </c>
      <c r="G99" s="238">
        <v>7</v>
      </c>
      <c r="H99" s="238">
        <v>11</v>
      </c>
      <c r="I99" s="238">
        <v>13.2</v>
      </c>
      <c r="J99" s="238">
        <v>35.200000000000003</v>
      </c>
      <c r="K99" s="239">
        <v>13.9</v>
      </c>
      <c r="Z99" s="198" t="s">
        <v>99</v>
      </c>
      <c r="AA99" s="199">
        <f t="shared" ref="AA99:AH99" si="52">($T$55/100)*D36</f>
        <v>190955446.91999999</v>
      </c>
      <c r="AB99" s="199">
        <f t="shared" si="52"/>
        <v>12984970390.559999</v>
      </c>
      <c r="AC99" s="199">
        <f t="shared" si="52"/>
        <v>3246242597.6399999</v>
      </c>
      <c r="AD99" s="199">
        <f t="shared" si="52"/>
        <v>0</v>
      </c>
      <c r="AE99" s="199">
        <f t="shared" si="52"/>
        <v>954777234.5999999</v>
      </c>
      <c r="AF99" s="199">
        <f t="shared" si="52"/>
        <v>190955446.91999999</v>
      </c>
      <c r="AG99" s="199">
        <f t="shared" si="52"/>
        <v>1336688128.4399998</v>
      </c>
      <c r="AH99" s="199">
        <f t="shared" si="52"/>
        <v>190955446.91999999</v>
      </c>
      <c r="AI99" s="200">
        <f t="shared" si="44"/>
        <v>19095544691.999992</v>
      </c>
      <c r="AJ99" s="201">
        <f>AB99/AI90</f>
        <v>0.24279537730976883</v>
      </c>
      <c r="AK99" s="240"/>
      <c r="AL99" s="240"/>
      <c r="AM99" s="240"/>
      <c r="AN99" s="240"/>
      <c r="AO99" s="197"/>
    </row>
    <row r="100" spans="3:41" x14ac:dyDescent="0.35">
      <c r="C100" s="232" t="s">
        <v>131</v>
      </c>
      <c r="D100" s="238">
        <v>3.8</v>
      </c>
      <c r="E100" s="238">
        <v>36.1</v>
      </c>
      <c r="F100" s="238">
        <v>37.4</v>
      </c>
      <c r="G100" s="238">
        <v>12.2</v>
      </c>
      <c r="H100" s="238">
        <v>20.7</v>
      </c>
      <c r="I100" s="238">
        <v>30.1</v>
      </c>
      <c r="J100" s="238">
        <v>57.6</v>
      </c>
      <c r="K100" s="239">
        <v>60.5</v>
      </c>
      <c r="Z100" s="67"/>
      <c r="AA100" s="67"/>
      <c r="AB100" s="67"/>
      <c r="AC100" s="67"/>
      <c r="AD100" s="67"/>
      <c r="AE100" s="67"/>
      <c r="AF100" s="67"/>
      <c r="AG100" s="67"/>
      <c r="AH100" s="67"/>
    </row>
    <row r="101" spans="3:41" x14ac:dyDescent="0.35">
      <c r="C101" s="241" t="s">
        <v>78</v>
      </c>
      <c r="D101" s="242">
        <v>2.5</v>
      </c>
      <c r="E101" s="242">
        <v>16.7</v>
      </c>
      <c r="F101" s="242">
        <v>18.8</v>
      </c>
      <c r="G101" s="242">
        <v>7.9</v>
      </c>
      <c r="H101" s="242">
        <v>10.5</v>
      </c>
      <c r="I101" s="242">
        <v>11.5</v>
      </c>
      <c r="J101" s="242">
        <v>33.700000000000003</v>
      </c>
      <c r="K101" s="243">
        <v>32.4</v>
      </c>
      <c r="Z101" s="67"/>
      <c r="AA101" s="67"/>
      <c r="AB101" s="67"/>
      <c r="AC101" s="67"/>
      <c r="AD101" s="67"/>
      <c r="AE101" s="67"/>
      <c r="AF101" s="67"/>
      <c r="AG101" s="67"/>
      <c r="AH101" s="67"/>
    </row>
    <row r="102" spans="3:41" ht="18.600000000000001" thickBot="1" x14ac:dyDescent="0.4">
      <c r="C102" s="244" t="s">
        <v>79</v>
      </c>
      <c r="D102" s="245">
        <v>5100</v>
      </c>
      <c r="E102" s="245">
        <v>8580</v>
      </c>
      <c r="F102" s="245">
        <v>1540</v>
      </c>
      <c r="G102" s="245">
        <v>300</v>
      </c>
      <c r="H102" s="245">
        <v>640</v>
      </c>
      <c r="I102" s="245">
        <v>100</v>
      </c>
      <c r="J102" s="245">
        <v>170</v>
      </c>
      <c r="K102" s="246">
        <v>140</v>
      </c>
      <c r="Z102" s="67"/>
      <c r="AA102" s="67"/>
      <c r="AB102" s="67"/>
      <c r="AC102" s="67"/>
      <c r="AD102" s="67"/>
      <c r="AE102" s="67"/>
      <c r="AF102" s="67"/>
      <c r="AG102" s="67"/>
      <c r="AH102" s="67"/>
    </row>
    <row r="103" spans="3:41" x14ac:dyDescent="0.35">
      <c r="Z103" s="67"/>
      <c r="AA103" s="67"/>
      <c r="AB103" s="67"/>
      <c r="AC103" s="67"/>
      <c r="AD103" s="67"/>
      <c r="AE103" s="67"/>
      <c r="AF103" s="67"/>
      <c r="AG103" s="67"/>
      <c r="AH103" s="67"/>
    </row>
    <row r="104" spans="3:41" x14ac:dyDescent="0.35">
      <c r="Z104" s="67"/>
      <c r="AA104" s="67"/>
      <c r="AB104" s="67"/>
      <c r="AC104" s="67"/>
      <c r="AD104" s="67"/>
      <c r="AE104" s="67"/>
      <c r="AF104" s="67"/>
      <c r="AG104" s="67"/>
      <c r="AH104" s="67"/>
    </row>
  </sheetData>
  <sheetProtection algorithmName="SHA-512" hashValue="eSqEnK0CTXtvsBXQLqPDOKQb9HDtycYncluqB8d24iMtNsD4s9dfa+wrz8z4K5agzoFnMwF+VCO2vd/NGLCKbw==" saltValue="5JZpdkdsrRchjjaj8D5N3w==" spinCount="100000" sheet="1" objects="1" scenarios="1"/>
  <mergeCells count="14">
    <mergeCell ref="AJ85:AO85"/>
    <mergeCell ref="AJ86:AO86"/>
    <mergeCell ref="AJ72:AO72"/>
    <mergeCell ref="AJ73:AO73"/>
    <mergeCell ref="O75:P75"/>
    <mergeCell ref="D10:E10"/>
    <mergeCell ref="F10:O10"/>
    <mergeCell ref="D2:E2"/>
    <mergeCell ref="F2:O2"/>
    <mergeCell ref="F6:O8"/>
    <mergeCell ref="D9:E9"/>
    <mergeCell ref="F9:O9"/>
    <mergeCell ref="F3:O5"/>
    <mergeCell ref="D3:E8"/>
  </mergeCells>
  <hyperlinks>
    <hyperlink ref="F6:O8" r:id="rId1" display="Transport and Travel in Scotland 2021: Results from the Scottish Household Survey" xr:uid="{5982AA29-C313-4A98-8595-B46A6F7A03E2}"/>
    <hyperlink ref="F3:O5" r:id="rId2" display="Transport and Travel in Scotland 2019: Results from the Scottish Household Survey" xr:uid="{4B219FCE-7483-402E-A8B3-98CAAD7B18D7}"/>
  </hyperlinks>
  <pageMargins left="0.7" right="0.7" top="0.75" bottom="0.75" header="0.3" footer="0.3"/>
  <pageSetup paperSize="9" orientation="portrait" r:id="rId3"/>
  <legacyDrawing r:id="rId4"/>
  <tableParts count="3">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4C4D9-2FFC-4745-905C-34913035B73B}">
  <sheetPr>
    <tabColor theme="5" tint="0.59999389629810485"/>
  </sheetPr>
  <dimension ref="A2:AC28"/>
  <sheetViews>
    <sheetView showGridLines="0" zoomScaleNormal="100" workbookViewId="0">
      <selection activeCell="F9" sqref="F9"/>
    </sheetView>
  </sheetViews>
  <sheetFormatPr defaultRowHeight="18" x14ac:dyDescent="0.35"/>
  <cols>
    <col min="1" max="1" width="14.44140625" style="19" bestFit="1" customWidth="1"/>
    <col min="2" max="2" width="29.77734375" style="19" customWidth="1"/>
    <col min="3" max="3" width="8.44140625" style="19" customWidth="1"/>
    <col min="4" max="12" width="13.88671875" style="19" bestFit="1" customWidth="1"/>
    <col min="13" max="13" width="8.77734375" style="19" customWidth="1"/>
    <col min="14" max="27" width="13.88671875" style="19" bestFit="1" customWidth="1"/>
    <col min="28" max="28" width="12.109375" style="19" bestFit="1" customWidth="1"/>
    <col min="29" max="29" width="13.88671875" style="19" bestFit="1" customWidth="1"/>
    <col min="30" max="16384" width="8.88671875" style="19"/>
  </cols>
  <sheetData>
    <row r="2" spans="1:29" x14ac:dyDescent="0.35">
      <c r="B2" s="642" t="s">
        <v>57</v>
      </c>
      <c r="C2" s="643"/>
      <c r="D2" s="650" t="s">
        <v>299</v>
      </c>
      <c r="E2" s="650"/>
      <c r="F2" s="650"/>
      <c r="G2" s="650"/>
      <c r="H2" s="650"/>
      <c r="I2" s="650"/>
      <c r="J2" s="650"/>
      <c r="K2" s="650"/>
      <c r="L2" s="650"/>
      <c r="M2" s="650"/>
      <c r="N2" s="650"/>
    </row>
    <row r="3" spans="1:29" ht="14.55" customHeight="1" x14ac:dyDescent="0.35">
      <c r="B3" s="628" t="s">
        <v>59</v>
      </c>
      <c r="C3" s="644"/>
      <c r="D3" s="651" t="s">
        <v>300</v>
      </c>
      <c r="E3" s="651"/>
      <c r="F3" s="651"/>
      <c r="G3" s="651"/>
      <c r="H3" s="651"/>
      <c r="I3" s="651"/>
      <c r="J3" s="651"/>
      <c r="K3" s="651"/>
      <c r="L3" s="651"/>
      <c r="M3" s="651"/>
      <c r="N3" s="651"/>
    </row>
    <row r="4" spans="1:29" x14ac:dyDescent="0.35">
      <c r="B4" s="630"/>
      <c r="C4" s="645"/>
      <c r="D4" s="651"/>
      <c r="E4" s="651"/>
      <c r="F4" s="651"/>
      <c r="G4" s="651"/>
      <c r="H4" s="651"/>
      <c r="I4" s="651"/>
      <c r="J4" s="651"/>
      <c r="K4" s="651"/>
      <c r="L4" s="651"/>
      <c r="M4" s="651"/>
      <c r="N4" s="651"/>
    </row>
    <row r="5" spans="1:29" ht="36.6" customHeight="1" x14ac:dyDescent="0.35">
      <c r="B5" s="632"/>
      <c r="C5" s="646"/>
      <c r="D5" s="651"/>
      <c r="E5" s="651"/>
      <c r="F5" s="651"/>
      <c r="G5" s="651"/>
      <c r="H5" s="651"/>
      <c r="I5" s="651"/>
      <c r="J5" s="651"/>
      <c r="K5" s="651"/>
      <c r="L5" s="651"/>
      <c r="M5" s="651"/>
      <c r="N5" s="651"/>
    </row>
    <row r="6" spans="1:29" x14ac:dyDescent="0.35">
      <c r="B6" s="647" t="s">
        <v>60</v>
      </c>
      <c r="C6" s="648"/>
      <c r="D6" s="650" t="s">
        <v>301</v>
      </c>
      <c r="E6" s="650"/>
      <c r="F6" s="650"/>
      <c r="G6" s="650"/>
      <c r="H6" s="650"/>
      <c r="I6" s="650"/>
      <c r="J6" s="650"/>
      <c r="K6" s="650"/>
      <c r="L6" s="650"/>
      <c r="M6" s="650"/>
      <c r="N6" s="650"/>
    </row>
    <row r="7" spans="1:29" ht="132.44999999999999" customHeight="1" x14ac:dyDescent="0.35">
      <c r="B7" s="647" t="s">
        <v>62</v>
      </c>
      <c r="C7" s="648"/>
      <c r="D7" s="649" t="s">
        <v>490</v>
      </c>
      <c r="E7" s="649"/>
      <c r="F7" s="649"/>
      <c r="G7" s="649"/>
      <c r="H7" s="649"/>
      <c r="I7" s="649"/>
      <c r="J7" s="649"/>
      <c r="K7" s="649"/>
      <c r="L7" s="649"/>
      <c r="M7" s="649"/>
      <c r="N7" s="649"/>
    </row>
    <row r="10" spans="1:29" x14ac:dyDescent="0.35">
      <c r="C10" s="59" t="s">
        <v>302</v>
      </c>
      <c r="D10" s="59" t="s">
        <v>303</v>
      </c>
      <c r="E10" s="59" t="s">
        <v>304</v>
      </c>
      <c r="F10" s="59" t="s">
        <v>305</v>
      </c>
      <c r="G10" s="59" t="s">
        <v>306</v>
      </c>
      <c r="H10" s="59" t="s">
        <v>307</v>
      </c>
      <c r="I10" s="59" t="s">
        <v>308</v>
      </c>
      <c r="J10" s="59" t="s">
        <v>309</v>
      </c>
      <c r="K10" s="59" t="s">
        <v>310</v>
      </c>
      <c r="L10" s="59" t="s">
        <v>311</v>
      </c>
      <c r="M10" s="59" t="s">
        <v>312</v>
      </c>
      <c r="N10" s="59" t="s">
        <v>313</v>
      </c>
      <c r="O10" s="59" t="s">
        <v>314</v>
      </c>
      <c r="P10" s="59" t="s">
        <v>315</v>
      </c>
      <c r="Q10" s="59" t="s">
        <v>316</v>
      </c>
      <c r="R10" s="59" t="s">
        <v>317</v>
      </c>
      <c r="S10" s="59" t="s">
        <v>68</v>
      </c>
      <c r="T10" s="59" t="s">
        <v>69</v>
      </c>
      <c r="U10" s="59" t="s">
        <v>70</v>
      </c>
      <c r="V10" s="59" t="s">
        <v>71</v>
      </c>
      <c r="W10" s="59" t="s">
        <v>72</v>
      </c>
      <c r="X10" s="59" t="s">
        <v>73</v>
      </c>
      <c r="Y10" s="59" t="s">
        <v>74</v>
      </c>
      <c r="Z10" s="59" t="s">
        <v>75</v>
      </c>
      <c r="AA10" s="59" t="s">
        <v>76</v>
      </c>
      <c r="AB10" s="59" t="s">
        <v>65</v>
      </c>
    </row>
    <row r="11" spans="1:29" x14ac:dyDescent="0.35">
      <c r="A11" s="60" t="s">
        <v>318</v>
      </c>
      <c r="B11" s="19" t="s">
        <v>319</v>
      </c>
      <c r="C11" s="61">
        <v>480.93792095171074</v>
      </c>
      <c r="D11" s="61">
        <v>480.93792095171074</v>
      </c>
      <c r="E11" s="61">
        <v>461.71871791948752</v>
      </c>
      <c r="F11" s="61">
        <v>578.52870177855004</v>
      </c>
      <c r="G11" s="61">
        <v>627.16753598343178</v>
      </c>
      <c r="H11" s="61">
        <v>643.46037880659651</v>
      </c>
      <c r="I11" s="61">
        <v>669.8846268165853</v>
      </c>
      <c r="J11" s="61">
        <v>678.25404012539013</v>
      </c>
      <c r="K11" s="61">
        <v>690.11927908595317</v>
      </c>
      <c r="L11" s="61">
        <v>715.10804497854451</v>
      </c>
      <c r="M11" s="61">
        <v>772.75423741305053</v>
      </c>
      <c r="N11" s="61">
        <v>742.16562202459852</v>
      </c>
      <c r="O11" s="61">
        <v>719.28552402991238</v>
      </c>
      <c r="P11" s="61">
        <v>680.58147592193245</v>
      </c>
      <c r="Q11" s="61">
        <v>599.37350217456913</v>
      </c>
      <c r="R11" s="61">
        <v>552.04819688087946</v>
      </c>
      <c r="S11" s="61">
        <v>541.43852885807019</v>
      </c>
      <c r="T11" s="61">
        <v>525.99119429095242</v>
      </c>
      <c r="U11" s="61">
        <v>538.39932789073737</v>
      </c>
      <c r="V11" s="61">
        <v>520.77404033119467</v>
      </c>
      <c r="W11" s="61">
        <v>524.27391852766584</v>
      </c>
      <c r="X11" s="61">
        <v>476.17317199107276</v>
      </c>
      <c r="Y11" s="61">
        <v>510.41001847887964</v>
      </c>
      <c r="Z11" s="61">
        <v>481.32880683928943</v>
      </c>
      <c r="AA11" s="61">
        <v>447.9819844546742</v>
      </c>
      <c r="AB11" s="61">
        <v>177.6331350759537</v>
      </c>
      <c r="AC11" s="61">
        <v>198.80518092456583</v>
      </c>
    </row>
    <row r="12" spans="1:29" x14ac:dyDescent="0.35">
      <c r="A12" s="60"/>
      <c r="B12" s="62" t="s">
        <v>320</v>
      </c>
      <c r="C12" s="63">
        <v>5708.8929127273123</v>
      </c>
      <c r="D12" s="63">
        <v>5708.8929127273123</v>
      </c>
      <c r="E12" s="63">
        <v>5755.1156327294466</v>
      </c>
      <c r="F12" s="63">
        <v>5929.7853411018086</v>
      </c>
      <c r="G12" s="63">
        <v>6003.1448505750659</v>
      </c>
      <c r="H12" s="63">
        <v>5960.3634127164323</v>
      </c>
      <c r="I12" s="63">
        <v>5953.3460642014106</v>
      </c>
      <c r="J12" s="63">
        <v>6175.4188696291667</v>
      </c>
      <c r="K12" s="63">
        <v>6100.2558320432972</v>
      </c>
      <c r="L12" s="63">
        <v>6058.924684407375</v>
      </c>
      <c r="M12" s="63">
        <v>6044.2180759802159</v>
      </c>
      <c r="N12" s="63">
        <v>6107.5453114483489</v>
      </c>
      <c r="O12" s="63">
        <v>6095.6630808486216</v>
      </c>
      <c r="P12" s="63">
        <v>5989.1268124648595</v>
      </c>
      <c r="Q12" s="63">
        <v>5833.221862399253</v>
      </c>
      <c r="R12" s="63">
        <v>5660.4480161834572</v>
      </c>
      <c r="S12" s="63">
        <v>5590.783798366213</v>
      </c>
      <c r="T12" s="63">
        <v>5592.995098314339</v>
      </c>
      <c r="U12" s="63">
        <v>5536.0224088419664</v>
      </c>
      <c r="V12" s="63">
        <v>5566.6630711059988</v>
      </c>
      <c r="W12" s="63">
        <v>5607.333712217478</v>
      </c>
      <c r="X12" s="63">
        <v>5749.274553998971</v>
      </c>
      <c r="Y12" s="63">
        <v>5846.5864261809038</v>
      </c>
      <c r="Z12" s="63">
        <v>5765.6995760792515</v>
      </c>
      <c r="AA12" s="63">
        <v>5687.2795343512416</v>
      </c>
      <c r="AB12" s="63">
        <v>4163.4430422816995</v>
      </c>
      <c r="AC12" s="63">
        <v>4740.128659099596</v>
      </c>
    </row>
    <row r="13" spans="1:29" x14ac:dyDescent="0.35">
      <c r="A13" s="60"/>
      <c r="B13" s="19" t="s">
        <v>321</v>
      </c>
      <c r="C13" s="61">
        <v>913.06268738649055</v>
      </c>
      <c r="D13" s="61">
        <v>913.06268738649032</v>
      </c>
      <c r="E13" s="61">
        <v>990.8318289177322</v>
      </c>
      <c r="F13" s="61">
        <v>1121.6488411678415</v>
      </c>
      <c r="G13" s="61">
        <v>1128.9098319208665</v>
      </c>
      <c r="H13" s="61">
        <v>1093.8060587850637</v>
      </c>
      <c r="I13" s="61">
        <v>1085.279981253708</v>
      </c>
      <c r="J13" s="61">
        <v>1109.2840403121052</v>
      </c>
      <c r="K13" s="61">
        <v>1144.9721342520143</v>
      </c>
      <c r="L13" s="61">
        <v>1155.9791768798316</v>
      </c>
      <c r="M13" s="61">
        <v>1191.7432471079221</v>
      </c>
      <c r="N13" s="61">
        <v>1230.1345989314786</v>
      </c>
      <c r="O13" s="61">
        <v>1292.3175030230805</v>
      </c>
      <c r="P13" s="61">
        <v>1249.8505820430521</v>
      </c>
      <c r="Q13" s="61">
        <v>1234.8974024205572</v>
      </c>
      <c r="R13" s="61">
        <v>1281.8064798555645</v>
      </c>
      <c r="S13" s="61">
        <v>1285.6126443066619</v>
      </c>
      <c r="T13" s="61">
        <v>1327.8661957481772</v>
      </c>
      <c r="U13" s="61">
        <v>1336.4995829712659</v>
      </c>
      <c r="V13" s="61">
        <v>1403.2831481918836</v>
      </c>
      <c r="W13" s="61">
        <v>1480.2664774465675</v>
      </c>
      <c r="X13" s="61">
        <v>1627.3665545606857</v>
      </c>
      <c r="Y13" s="61">
        <v>1735.8141980530222</v>
      </c>
      <c r="Z13" s="61">
        <v>1713.0117409805555</v>
      </c>
      <c r="AA13" s="61">
        <v>1662.6992594963126</v>
      </c>
      <c r="AB13" s="61">
        <v>1493.5931049590515</v>
      </c>
      <c r="AC13" s="61">
        <v>1794.0378554844299</v>
      </c>
    </row>
    <row r="14" spans="1:29" x14ac:dyDescent="0.35">
      <c r="A14" s="60"/>
      <c r="B14" s="19" t="s">
        <v>322</v>
      </c>
      <c r="C14" s="61">
        <v>2497.2118859169332</v>
      </c>
      <c r="D14" s="61">
        <v>2497.2118859169318</v>
      </c>
      <c r="E14" s="61">
        <v>2464.7873971118006</v>
      </c>
      <c r="F14" s="61">
        <v>2447.0965522187889</v>
      </c>
      <c r="G14" s="61">
        <v>2417.2223017478946</v>
      </c>
      <c r="H14" s="61">
        <v>2341.9256502873559</v>
      </c>
      <c r="I14" s="61">
        <v>2313.6737743107487</v>
      </c>
      <c r="J14" s="61">
        <v>2338.5390658517777</v>
      </c>
      <c r="K14" s="61">
        <v>2405.9844380530903</v>
      </c>
      <c r="L14" s="61">
        <v>2381.0142569997442</v>
      </c>
      <c r="M14" s="61">
        <v>2425.042021214244</v>
      </c>
      <c r="N14" s="61">
        <v>2478.6134914495483</v>
      </c>
      <c r="O14" s="61">
        <v>2549.8845171812427</v>
      </c>
      <c r="P14" s="61">
        <v>2393.2075535183349</v>
      </c>
      <c r="Q14" s="61">
        <v>2257.1771842509243</v>
      </c>
      <c r="R14" s="61">
        <v>2327.3389744575361</v>
      </c>
      <c r="S14" s="61">
        <v>2233.1536281813392</v>
      </c>
      <c r="T14" s="61">
        <v>2254.9898599641183</v>
      </c>
      <c r="U14" s="61">
        <v>2248.7664895198213</v>
      </c>
      <c r="V14" s="61">
        <v>2230.2269052570691</v>
      </c>
      <c r="W14" s="61">
        <v>2257.5575205927476</v>
      </c>
      <c r="X14" s="61">
        <v>2276.066034782717</v>
      </c>
      <c r="Y14" s="61">
        <v>2335.3081297160797</v>
      </c>
      <c r="Z14" s="61">
        <v>2259.7479861011134</v>
      </c>
      <c r="AA14" s="61">
        <v>2236.5563601129616</v>
      </c>
      <c r="AB14" s="61">
        <v>1930.3611684988609</v>
      </c>
      <c r="AC14" s="61">
        <v>2180.7350034561609</v>
      </c>
    </row>
    <row r="15" spans="1:29" x14ac:dyDescent="0.35">
      <c r="A15" s="60"/>
      <c r="B15" s="19" t="s">
        <v>323</v>
      </c>
      <c r="C15" s="61">
        <v>37.34535512915599</v>
      </c>
      <c r="D15" s="61">
        <v>37.345355129155998</v>
      </c>
      <c r="E15" s="61">
        <v>26.271988574077938</v>
      </c>
      <c r="F15" s="61">
        <v>28.797092468895141</v>
      </c>
      <c r="G15" s="61">
        <v>32.168414489303352</v>
      </c>
      <c r="H15" s="61">
        <v>32.52524772791741</v>
      </c>
      <c r="I15" s="61">
        <v>33.093361074822369</v>
      </c>
      <c r="J15" s="61">
        <v>36.776322777943911</v>
      </c>
      <c r="K15" s="61">
        <v>40.578776476275976</v>
      </c>
      <c r="L15" s="61">
        <v>37.040210419741427</v>
      </c>
      <c r="M15" s="61">
        <v>37.086979073381094</v>
      </c>
      <c r="N15" s="61">
        <v>35.110539273814936</v>
      </c>
      <c r="O15" s="61">
        <v>38.146593263803204</v>
      </c>
      <c r="P15" s="61">
        <v>37.594544044272332</v>
      </c>
      <c r="Q15" s="61">
        <v>37.244305616488035</v>
      </c>
      <c r="R15" s="61">
        <v>33.341200133977594</v>
      </c>
      <c r="S15" s="61">
        <v>33.411782391566739</v>
      </c>
      <c r="T15" s="61">
        <v>29.92284627008474</v>
      </c>
      <c r="U15" s="61">
        <v>31.101264450310289</v>
      </c>
      <c r="V15" s="61">
        <v>32.102011014024896</v>
      </c>
      <c r="W15" s="61">
        <v>32.009679592328595</v>
      </c>
      <c r="X15" s="61">
        <v>29.682558555647091</v>
      </c>
      <c r="Y15" s="61">
        <v>31.262945806507421</v>
      </c>
      <c r="Z15" s="61">
        <v>30.523034032940924</v>
      </c>
      <c r="AA15" s="61">
        <v>31.170836465864184</v>
      </c>
      <c r="AB15" s="61">
        <v>22.778057358476715</v>
      </c>
      <c r="AC15" s="61">
        <v>25.457019218834791</v>
      </c>
    </row>
    <row r="16" spans="1:29" x14ac:dyDescent="0.35">
      <c r="A16" s="60"/>
      <c r="B16" s="19" t="s">
        <v>324</v>
      </c>
      <c r="C16" s="61">
        <v>0</v>
      </c>
      <c r="D16" s="61">
        <v>0</v>
      </c>
      <c r="E16" s="61">
        <v>0</v>
      </c>
      <c r="F16" s="61">
        <v>1.2543434289696931</v>
      </c>
      <c r="G16" s="61">
        <v>2.5058469049360239</v>
      </c>
      <c r="H16" s="61">
        <v>6.8606298625244611</v>
      </c>
      <c r="I16" s="61">
        <v>16.753231090402792</v>
      </c>
      <c r="J16" s="61">
        <v>26.942667558479901</v>
      </c>
      <c r="K16" s="61">
        <v>32.673022357663072</v>
      </c>
      <c r="L16" s="61">
        <v>34.964198134565265</v>
      </c>
      <c r="M16" s="61">
        <v>37.777829193814867</v>
      </c>
      <c r="N16" s="61">
        <v>41.088093676269615</v>
      </c>
      <c r="O16" s="61">
        <v>40.703417378028988</v>
      </c>
      <c r="P16" s="61">
        <v>48.454472278658059</v>
      </c>
      <c r="Q16" s="61">
        <v>44.815700405753496</v>
      </c>
      <c r="R16" s="61">
        <v>44.420998574190861</v>
      </c>
      <c r="S16" s="61">
        <v>40.265314355867027</v>
      </c>
      <c r="T16" s="61">
        <v>38.431289043901401</v>
      </c>
      <c r="U16" s="61">
        <v>36.310372922316489</v>
      </c>
      <c r="V16" s="61">
        <v>35.390528227837862</v>
      </c>
      <c r="W16" s="61">
        <v>31.292838916570968</v>
      </c>
      <c r="X16" s="61">
        <v>27.965922083691463</v>
      </c>
      <c r="Y16" s="61">
        <v>26.629554032754861</v>
      </c>
      <c r="Z16" s="61">
        <v>31.568048821998484</v>
      </c>
      <c r="AA16" s="61">
        <v>37.145243927986918</v>
      </c>
      <c r="AB16" s="61">
        <v>35.146674450557398</v>
      </c>
      <c r="AC16" s="61">
        <v>31.066182493800063</v>
      </c>
    </row>
    <row r="17" spans="1:29" x14ac:dyDescent="0.35">
      <c r="A17" s="60"/>
      <c r="B17" s="19" t="s">
        <v>325</v>
      </c>
      <c r="C17" s="61">
        <v>118.81537713269812</v>
      </c>
      <c r="D17" s="61">
        <v>118.81537713269812</v>
      </c>
      <c r="E17" s="61">
        <v>120.75868306993297</v>
      </c>
      <c r="F17" s="61">
        <v>135.23302904490799</v>
      </c>
      <c r="G17" s="61">
        <v>137.03974667229173</v>
      </c>
      <c r="H17" s="61">
        <v>139.26148281572887</v>
      </c>
      <c r="I17" s="61">
        <v>143.69579211340928</v>
      </c>
      <c r="J17" s="61">
        <v>142.89304128015976</v>
      </c>
      <c r="K17" s="61">
        <v>144.40069922810511</v>
      </c>
      <c r="L17" s="61">
        <v>149.85784337873534</v>
      </c>
      <c r="M17" s="61">
        <v>153.68939174214239</v>
      </c>
      <c r="N17" s="61">
        <v>158.27205886971109</v>
      </c>
      <c r="O17" s="61">
        <v>169.41339381437618</v>
      </c>
      <c r="P17" s="61">
        <v>170.04717044010437</v>
      </c>
      <c r="Q17" s="61">
        <v>169.94638656879118</v>
      </c>
      <c r="R17" s="61">
        <v>170.57668642908035</v>
      </c>
      <c r="S17" s="61">
        <v>164.28266888912503</v>
      </c>
      <c r="T17" s="61">
        <v>167.00425228968768</v>
      </c>
      <c r="U17" s="61">
        <v>166.56452034945679</v>
      </c>
      <c r="V17" s="61">
        <v>169.24226906767421</v>
      </c>
      <c r="W17" s="61">
        <v>164.76691094555443</v>
      </c>
      <c r="X17" s="61">
        <v>163.14805955637735</v>
      </c>
      <c r="Y17" s="61">
        <v>160.18479558005271</v>
      </c>
      <c r="Z17" s="61">
        <v>150.91339682495754</v>
      </c>
      <c r="AA17" s="61">
        <v>155.18233023771899</v>
      </c>
      <c r="AB17" s="61">
        <v>119.87840760052872</v>
      </c>
      <c r="AC17" s="61">
        <v>130.74031940185617</v>
      </c>
    </row>
    <row r="18" spans="1:29" x14ac:dyDescent="0.35">
      <c r="A18" s="60"/>
      <c r="B18" s="19" t="s">
        <v>326</v>
      </c>
      <c r="C18" s="61">
        <v>2798.2648037830827</v>
      </c>
      <c r="D18" s="61">
        <v>2798.2648037830832</v>
      </c>
      <c r="E18" s="61">
        <v>3638.1205262224735</v>
      </c>
      <c r="F18" s="61">
        <v>3764.452494809525</v>
      </c>
      <c r="G18" s="61">
        <v>3782.5887162774752</v>
      </c>
      <c r="H18" s="61">
        <v>3402.9115987031732</v>
      </c>
      <c r="I18" s="61">
        <v>3119.7478541567989</v>
      </c>
      <c r="J18" s="61">
        <v>3302.3400078027507</v>
      </c>
      <c r="K18" s="61">
        <v>3056.131167423765</v>
      </c>
      <c r="L18" s="61">
        <v>2828.5272065640561</v>
      </c>
      <c r="M18" s="61">
        <v>2708.2384541711426</v>
      </c>
      <c r="N18" s="61">
        <v>2470.2152794807839</v>
      </c>
      <c r="O18" s="61">
        <v>2525.1989982478394</v>
      </c>
      <c r="P18" s="61">
        <v>2327.0606957551745</v>
      </c>
      <c r="Q18" s="61">
        <v>2251.6256353763447</v>
      </c>
      <c r="R18" s="61">
        <v>2058.8253670757554</v>
      </c>
      <c r="S18" s="61">
        <v>1767.5046784703607</v>
      </c>
      <c r="T18" s="61">
        <v>1551.102967879634</v>
      </c>
      <c r="U18" s="61">
        <v>1417.9854240768216</v>
      </c>
      <c r="V18" s="61">
        <v>1424.6133350484147</v>
      </c>
      <c r="W18" s="61">
        <v>1611.4591320634893</v>
      </c>
      <c r="X18" s="61">
        <v>1664.6631452213639</v>
      </c>
      <c r="Y18" s="61">
        <v>1578.1003117129269</v>
      </c>
      <c r="Z18" s="61">
        <v>1663.4808819368141</v>
      </c>
      <c r="AA18" s="61">
        <v>1724.654370292315</v>
      </c>
      <c r="AB18" s="61">
        <v>1516.9655832309429</v>
      </c>
      <c r="AC18" s="61">
        <v>1402.8701248560233</v>
      </c>
    </row>
    <row r="19" spans="1:29" x14ac:dyDescent="0.35">
      <c r="A19" s="60"/>
      <c r="B19" s="19" t="s">
        <v>327</v>
      </c>
      <c r="C19" s="61">
        <v>19.246880093151287</v>
      </c>
      <c r="D19" s="61">
        <v>19.246880093151287</v>
      </c>
      <c r="E19" s="61">
        <v>22.445012893965163</v>
      </c>
      <c r="F19" s="61">
        <v>28.263763043041912</v>
      </c>
      <c r="G19" s="61">
        <v>29.97380642532935</v>
      </c>
      <c r="H19" s="61">
        <v>32.764189966156167</v>
      </c>
      <c r="I19" s="61">
        <v>36.262619804622133</v>
      </c>
      <c r="J19" s="61">
        <v>39.327381348536527</v>
      </c>
      <c r="K19" s="61">
        <v>43.031311786118891</v>
      </c>
      <c r="L19" s="61">
        <v>48.662630798564479</v>
      </c>
      <c r="M19" s="61">
        <v>54.688668237153173</v>
      </c>
      <c r="N19" s="61">
        <v>60.301155972449202</v>
      </c>
      <c r="O19" s="61">
        <v>64.640249910311837</v>
      </c>
      <c r="P19" s="61">
        <v>65.502765142026405</v>
      </c>
      <c r="Q19" s="61">
        <v>62.422486563233477</v>
      </c>
      <c r="R19" s="61">
        <v>59.078497971744795</v>
      </c>
      <c r="S19" s="61">
        <v>61.210359043013291</v>
      </c>
      <c r="T19" s="61">
        <v>67.996800118378786</v>
      </c>
      <c r="U19" s="61">
        <v>66.726061396599576</v>
      </c>
      <c r="V19" s="61">
        <v>67.46462521509271</v>
      </c>
      <c r="W19" s="61">
        <v>71.280919450468232</v>
      </c>
      <c r="X19" s="61">
        <v>85.037114674716861</v>
      </c>
      <c r="Y19" s="61">
        <v>91.215474826703115</v>
      </c>
      <c r="Z19" s="61">
        <v>94.422394365528035</v>
      </c>
      <c r="AA19" s="61">
        <v>96.737017594507435</v>
      </c>
      <c r="AB19" s="61">
        <v>27.637099029767565</v>
      </c>
      <c r="AC19" s="61">
        <v>24.702488255523974</v>
      </c>
    </row>
    <row r="20" spans="1:29" x14ac:dyDescent="0.35">
      <c r="A20" s="60"/>
      <c r="B20" s="19" t="s">
        <v>328</v>
      </c>
      <c r="C20" s="61">
        <v>4.6078444623305845</v>
      </c>
      <c r="D20" s="61">
        <v>4.6078444623305845</v>
      </c>
      <c r="E20" s="61">
        <v>4.987013969509178</v>
      </c>
      <c r="F20" s="61">
        <v>4.6011013011267599</v>
      </c>
      <c r="G20" s="61">
        <v>4.6011013011267599</v>
      </c>
      <c r="H20" s="61">
        <v>4.6011013011267599</v>
      </c>
      <c r="I20" s="61">
        <v>4.6011013011267599</v>
      </c>
      <c r="J20" s="61">
        <v>4.6011013011267599</v>
      </c>
      <c r="K20" s="61">
        <v>4.6011013011267599</v>
      </c>
      <c r="L20" s="61">
        <v>4.6011043775450071</v>
      </c>
      <c r="M20" s="61">
        <v>0</v>
      </c>
      <c r="N20" s="61">
        <v>0</v>
      </c>
      <c r="O20" s="61">
        <v>0</v>
      </c>
      <c r="P20" s="61">
        <v>0</v>
      </c>
      <c r="Q20" s="61">
        <v>0</v>
      </c>
      <c r="R20" s="61">
        <v>0</v>
      </c>
      <c r="S20" s="61">
        <v>0</v>
      </c>
      <c r="T20" s="61">
        <v>0</v>
      </c>
      <c r="U20" s="61">
        <v>0</v>
      </c>
      <c r="V20" s="61">
        <v>0</v>
      </c>
      <c r="W20" s="61">
        <v>0</v>
      </c>
      <c r="X20" s="61">
        <v>0</v>
      </c>
      <c r="Y20" s="61">
        <v>0</v>
      </c>
      <c r="Z20" s="61">
        <v>0</v>
      </c>
      <c r="AA20" s="61">
        <v>0</v>
      </c>
      <c r="AB20" s="61">
        <v>0</v>
      </c>
      <c r="AC20" s="61">
        <v>0</v>
      </c>
    </row>
    <row r="21" spans="1:29" x14ac:dyDescent="0.35">
      <c r="A21" s="60"/>
      <c r="B21" s="19" t="s">
        <v>329</v>
      </c>
      <c r="C21" s="61">
        <v>495.40297327625859</v>
      </c>
      <c r="D21" s="61">
        <v>495.40297327625859</v>
      </c>
      <c r="E21" s="61">
        <v>511.57854390915548</v>
      </c>
      <c r="F21" s="61">
        <v>403.6066453605211</v>
      </c>
      <c r="G21" s="61">
        <v>383.95490449430531</v>
      </c>
      <c r="H21" s="61">
        <v>354.08684046217962</v>
      </c>
      <c r="I21" s="61">
        <v>337.69617452952707</v>
      </c>
      <c r="J21" s="61">
        <v>374.9944071524248</v>
      </c>
      <c r="K21" s="61">
        <v>368.74588114195234</v>
      </c>
      <c r="L21" s="61">
        <v>405.05028273208347</v>
      </c>
      <c r="M21" s="61">
        <v>446.83415430541891</v>
      </c>
      <c r="N21" s="61">
        <v>368.41721074105499</v>
      </c>
      <c r="O21" s="61">
        <v>402.33579868357077</v>
      </c>
      <c r="P21" s="61">
        <v>399.35680104070713</v>
      </c>
      <c r="Q21" s="61">
        <v>359.65140270038961</v>
      </c>
      <c r="R21" s="61">
        <v>387.55073236436874</v>
      </c>
      <c r="S21" s="61">
        <v>318.51597420147289</v>
      </c>
      <c r="T21" s="61">
        <v>329.24153331579032</v>
      </c>
      <c r="U21" s="61">
        <v>312.29854537108929</v>
      </c>
      <c r="V21" s="61">
        <v>384.43451857123853</v>
      </c>
      <c r="W21" s="61">
        <v>318.35687276756306</v>
      </c>
      <c r="X21" s="61">
        <v>353.08194258406451</v>
      </c>
      <c r="Y21" s="61">
        <v>341.7715330078812</v>
      </c>
      <c r="Z21" s="61">
        <v>345.77767040238996</v>
      </c>
      <c r="AA21" s="61">
        <v>288.92222833678665</v>
      </c>
      <c r="AB21" s="61">
        <v>274.29381066179332</v>
      </c>
      <c r="AC21" s="61">
        <v>273.06816021152775</v>
      </c>
    </row>
    <row r="22" spans="1:29" x14ac:dyDescent="0.35">
      <c r="A22" s="60"/>
      <c r="B22" s="19" t="s">
        <v>330</v>
      </c>
      <c r="C22" s="61">
        <v>459.54079519521667</v>
      </c>
      <c r="D22" s="61">
        <v>459.54079519521667</v>
      </c>
      <c r="E22" s="61">
        <v>342.55288796119493</v>
      </c>
      <c r="F22" s="61">
        <v>256.21196650366551</v>
      </c>
      <c r="G22" s="61">
        <v>247.34976980058639</v>
      </c>
      <c r="H22" s="61">
        <v>227.23697348947556</v>
      </c>
      <c r="I22" s="61">
        <v>230.003022694859</v>
      </c>
      <c r="J22" s="61">
        <v>240.50045219214067</v>
      </c>
      <c r="K22" s="61">
        <v>249.23306046451327</v>
      </c>
      <c r="L22" s="61">
        <v>243.49855326934303</v>
      </c>
      <c r="M22" s="61">
        <v>227.70533836734884</v>
      </c>
      <c r="N22" s="61">
        <v>281.64254081415646</v>
      </c>
      <c r="O22" s="61">
        <v>302.85150350254884</v>
      </c>
      <c r="P22" s="61">
        <v>265.97814932535493</v>
      </c>
      <c r="Q22" s="61">
        <v>245.68074871038723</v>
      </c>
      <c r="R22" s="61">
        <v>233.58952096488355</v>
      </c>
      <c r="S22" s="61">
        <v>221.66792897432063</v>
      </c>
      <c r="T22" s="61">
        <v>202.81898369957347</v>
      </c>
      <c r="U22" s="61">
        <v>184.65370800079745</v>
      </c>
      <c r="V22" s="61">
        <v>162.32117708126688</v>
      </c>
      <c r="W22" s="61">
        <v>130.87323867509073</v>
      </c>
      <c r="X22" s="61">
        <v>119.25895502674749</v>
      </c>
      <c r="Y22" s="61">
        <v>122.43108503074596</v>
      </c>
      <c r="Z22" s="61">
        <v>123.80872374571123</v>
      </c>
      <c r="AA22" s="61">
        <v>124.38629445564679</v>
      </c>
      <c r="AB22" s="61">
        <v>104.83807290222676</v>
      </c>
      <c r="AC22" s="61">
        <v>119.62016214077597</v>
      </c>
    </row>
    <row r="23" spans="1:29" x14ac:dyDescent="0.35">
      <c r="A23" s="60"/>
      <c r="B23" s="19" t="s">
        <v>331</v>
      </c>
      <c r="C23" s="61">
        <v>30.802470291119199</v>
      </c>
      <c r="D23" s="61">
        <v>30.802470291119199</v>
      </c>
      <c r="E23" s="61">
        <v>33.534520086833297</v>
      </c>
      <c r="F23" s="61">
        <v>29.118522428344001</v>
      </c>
      <c r="G23" s="61">
        <v>28.576465139526</v>
      </c>
      <c r="H23" s="61">
        <v>26.193550147376509</v>
      </c>
      <c r="I23" s="61">
        <v>26.167968546976226</v>
      </c>
      <c r="J23" s="61">
        <v>26.197402593409528</v>
      </c>
      <c r="K23" s="61">
        <v>29.503018977223199</v>
      </c>
      <c r="L23" s="61">
        <v>26.005755120649098</v>
      </c>
      <c r="M23" s="61">
        <v>24.14090787234246</v>
      </c>
      <c r="N23" s="61">
        <v>25.74266644412987</v>
      </c>
      <c r="O23" s="61">
        <v>25.359844183644512</v>
      </c>
      <c r="P23" s="61">
        <v>23.131657485498309</v>
      </c>
      <c r="Q23" s="61">
        <v>23.671025865890972</v>
      </c>
      <c r="R23" s="61">
        <v>23.690640900021172</v>
      </c>
      <c r="S23" s="61">
        <v>23.201094164329628</v>
      </c>
      <c r="T23" s="61">
        <v>22.721088704645549</v>
      </c>
      <c r="U23" s="61">
        <v>22.882799804995489</v>
      </c>
      <c r="V23" s="61">
        <v>24.309765075038719</v>
      </c>
      <c r="W23" s="61">
        <v>23.552429508944222</v>
      </c>
      <c r="X23" s="61">
        <v>25.084334412455579</v>
      </c>
      <c r="Y23" s="61">
        <v>25.74384330448866</v>
      </c>
      <c r="Z23" s="61">
        <v>26.099630616732441</v>
      </c>
      <c r="AA23" s="61">
        <v>26.508892993499941</v>
      </c>
      <c r="AB23" s="61">
        <v>21.978209963338141</v>
      </c>
      <c r="AC23" s="61">
        <v>23.427434258495218</v>
      </c>
    </row>
    <row r="24" spans="1:29" x14ac:dyDescent="0.35">
      <c r="A24" s="64"/>
      <c r="B24" s="19" t="s">
        <v>332</v>
      </c>
      <c r="C24" s="61"/>
      <c r="D24" s="61"/>
      <c r="E24" s="61"/>
      <c r="F24" s="61"/>
      <c r="G24" s="61"/>
      <c r="H24" s="61"/>
      <c r="I24" s="61"/>
      <c r="J24" s="61"/>
      <c r="K24" s="61"/>
      <c r="L24" s="61"/>
      <c r="M24" s="61"/>
      <c r="N24" s="61">
        <v>0.11426083636505401</v>
      </c>
      <c r="O24" s="61">
        <v>0.53738078048802496</v>
      </c>
      <c r="P24" s="61">
        <v>1.03447818070015</v>
      </c>
      <c r="Q24" s="61">
        <v>1.3839952717038799</v>
      </c>
      <c r="R24" s="61">
        <v>1.8000342578864501</v>
      </c>
      <c r="S24" s="61">
        <v>2.21912487645006</v>
      </c>
      <c r="T24" s="61">
        <v>2.8802960515920701</v>
      </c>
      <c r="U24" s="61">
        <v>3.17804778511799</v>
      </c>
      <c r="V24" s="61">
        <v>3.3274607849459801</v>
      </c>
      <c r="W24" s="61">
        <v>3.50369945849144</v>
      </c>
      <c r="X24" s="61">
        <v>3.8539585225133002</v>
      </c>
      <c r="Y24" s="61">
        <v>4.04699885224107</v>
      </c>
      <c r="Z24" s="61">
        <v>4.2285669711860701</v>
      </c>
      <c r="AA24" s="61">
        <v>4.0414440569194401</v>
      </c>
      <c r="AB24" s="61">
        <v>3.5363847736365899</v>
      </c>
      <c r="AC24" s="61">
        <v>4.0687451161836696</v>
      </c>
    </row>
    <row r="25" spans="1:29" x14ac:dyDescent="0.35">
      <c r="A25" s="65" t="s">
        <v>333</v>
      </c>
      <c r="B25" s="65" t="s">
        <v>334</v>
      </c>
      <c r="C25" s="66">
        <v>13564.131906345459</v>
      </c>
      <c r="D25" s="66">
        <v>13564.131906345461</v>
      </c>
      <c r="E25" s="66">
        <v>14372.702753365611</v>
      </c>
      <c r="F25" s="66">
        <v>14728.598394655986</v>
      </c>
      <c r="G25" s="66">
        <v>14825.203291732136</v>
      </c>
      <c r="H25" s="66">
        <v>14265.997115071106</v>
      </c>
      <c r="I25" s="66">
        <v>13970.205571894996</v>
      </c>
      <c r="J25" s="66">
        <v>14496.068799925408</v>
      </c>
      <c r="K25" s="66">
        <v>14310.229722591099</v>
      </c>
      <c r="L25" s="66">
        <v>14089.233948060777</v>
      </c>
      <c r="M25" s="66">
        <v>14123.919304678177</v>
      </c>
      <c r="N25" s="66">
        <v>13999.362829962709</v>
      </c>
      <c r="O25" s="66">
        <v>14226.337804847468</v>
      </c>
      <c r="P25" s="66">
        <v>13650.927157640674</v>
      </c>
      <c r="Q25" s="66">
        <v>13121.111638324286</v>
      </c>
      <c r="R25" s="66">
        <v>12834.515346049346</v>
      </c>
      <c r="S25" s="66">
        <v>12283.267525078791</v>
      </c>
      <c r="T25" s="66">
        <v>12113.962405690874</v>
      </c>
      <c r="U25" s="66">
        <v>11901.388553381295</v>
      </c>
      <c r="V25" s="66">
        <v>12024.15285497168</v>
      </c>
      <c r="W25" s="66">
        <v>12256.527350162962</v>
      </c>
      <c r="X25" s="66">
        <v>12600.656305971022</v>
      </c>
      <c r="Y25" s="66">
        <v>12809.505314583192</v>
      </c>
      <c r="Z25" s="66">
        <v>12690.610457718467</v>
      </c>
      <c r="AA25" s="66">
        <v>12523.265796776439</v>
      </c>
      <c r="AB25" s="66">
        <v>9892.0827507868344</v>
      </c>
      <c r="AC25" s="66">
        <v>10948.727334917774</v>
      </c>
    </row>
    <row r="28" spans="1:29" x14ac:dyDescent="0.35">
      <c r="A28" s="18" t="s">
        <v>335</v>
      </c>
      <c r="B28" s="19" t="s">
        <v>336</v>
      </c>
      <c r="C28" s="61">
        <v>25.865398303941401</v>
      </c>
      <c r="D28" s="61">
        <v>25.865398303941401</v>
      </c>
      <c r="E28" s="61">
        <v>26.5983948362055</v>
      </c>
      <c r="F28" s="61">
        <v>21.9619651900124</v>
      </c>
      <c r="G28" s="61">
        <v>18.3587359504441</v>
      </c>
      <c r="H28" s="61">
        <v>18.015189149966101</v>
      </c>
      <c r="I28" s="61">
        <v>16.264975171972502</v>
      </c>
      <c r="J28" s="61">
        <v>15.8725551479155</v>
      </c>
      <c r="K28" s="61">
        <v>15.115100609823701</v>
      </c>
      <c r="L28" s="61">
        <v>9.6399029723417105</v>
      </c>
      <c r="M28" s="61">
        <v>11.477699700583001</v>
      </c>
      <c r="N28" s="61">
        <v>10.540093310221501</v>
      </c>
      <c r="O28" s="61">
        <v>11.5100133083803</v>
      </c>
      <c r="P28" s="61">
        <v>7.71595999471052</v>
      </c>
      <c r="Q28" s="61">
        <v>6.6020125778926699</v>
      </c>
      <c r="R28" s="61">
        <v>6.3744796305871203</v>
      </c>
      <c r="S28" s="61">
        <v>5.7025436925795203</v>
      </c>
      <c r="T28" s="61">
        <v>3.4546730710187799</v>
      </c>
      <c r="U28" s="61">
        <v>2.8815348814930899</v>
      </c>
      <c r="V28" s="61">
        <v>2.4116428427201799</v>
      </c>
      <c r="W28" s="61">
        <v>2.0748310049630398</v>
      </c>
      <c r="X28" s="61">
        <v>1.9477104533068099</v>
      </c>
      <c r="Y28" s="61">
        <v>1.5844077322082</v>
      </c>
      <c r="Z28" s="61">
        <v>3.9782055506579699</v>
      </c>
      <c r="AA28" s="61">
        <v>4.6216130539509299</v>
      </c>
      <c r="AB28" s="61">
        <v>2.2967572742075699</v>
      </c>
      <c r="AC28" s="61">
        <v>2.1581595531291402</v>
      </c>
    </row>
  </sheetData>
  <sheetProtection algorithmName="SHA-512" hashValue="XynL/GgVS1gZMQWAt+XL+E999v7Q7u2I62aaFxNw2N5Vc1r20IaT0QgLeobtq1W/T1t/CyzZ68RGYnRwABZMOQ==" saltValue="hybJpVTKVCblbLS6XfSLRw==" spinCount="100000" sheet="1" objects="1" scenarios="1"/>
  <mergeCells count="8">
    <mergeCell ref="B2:C2"/>
    <mergeCell ref="B3:C5"/>
    <mergeCell ref="B7:C7"/>
    <mergeCell ref="B6:C6"/>
    <mergeCell ref="D7:N7"/>
    <mergeCell ref="D6:N6"/>
    <mergeCell ref="D3:N5"/>
    <mergeCell ref="D2:N2"/>
  </mergeCells>
  <hyperlinks>
    <hyperlink ref="D3:M5" r:id="rId1" display="Devolved Administrations - Greenhouse Gas Reports" xr:uid="{F0631BC2-C734-48E0-A64E-CB8B810299A2}"/>
    <hyperlink ref="D3" r:id="rId2" display="https://naei.beis.gov.uk/reports/reports?section_id=4 " xr:uid="{B0B6AC48-EC98-436C-8259-E0B2F000E73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C1EC6-0C16-4959-B6C7-1986C401FF85}">
  <sheetPr>
    <tabColor theme="5" tint="0.59999389629810485"/>
  </sheetPr>
  <dimension ref="B2:V53"/>
  <sheetViews>
    <sheetView showGridLines="0" zoomScaleNormal="100" workbookViewId="0">
      <selection activeCell="K12" sqref="K12:K13"/>
    </sheetView>
  </sheetViews>
  <sheetFormatPr defaultRowHeight="18" x14ac:dyDescent="0.35"/>
  <cols>
    <col min="1" max="1" width="8.88671875" style="19"/>
    <col min="2" max="2" width="46.77734375" style="19" customWidth="1"/>
    <col min="3" max="3" width="19.21875" style="19" customWidth="1"/>
    <col min="4" max="4" width="9.21875" style="19" customWidth="1"/>
    <col min="5" max="8" width="8.88671875" style="19"/>
    <col min="9" max="9" width="8.88671875" style="19" customWidth="1"/>
    <col min="10" max="10" width="8.88671875" style="19"/>
    <col min="11" max="11" width="37.88671875" style="19" bestFit="1" customWidth="1"/>
    <col min="12" max="12" width="25.77734375" style="19" customWidth="1"/>
    <col min="13" max="13" width="12.33203125" style="19" customWidth="1"/>
    <col min="14" max="14" width="25.21875" style="19" customWidth="1"/>
    <col min="15" max="15" width="14" style="19" customWidth="1"/>
    <col min="16" max="16" width="26.109375" style="19" customWidth="1"/>
    <col min="17" max="17" width="14.6640625" style="19" customWidth="1"/>
    <col min="18" max="18" width="25.77734375" style="19" customWidth="1"/>
    <col min="19" max="19" width="12.5546875" style="19" customWidth="1"/>
    <col min="20" max="20" width="26.21875" style="19" customWidth="1"/>
    <col min="21" max="21" width="13.88671875" style="19" customWidth="1"/>
    <col min="22" max="22" width="10.77734375" style="19" customWidth="1"/>
    <col min="23" max="16384" width="8.88671875" style="19"/>
  </cols>
  <sheetData>
    <row r="2" spans="2:21" x14ac:dyDescent="0.35">
      <c r="B2" s="68" t="s">
        <v>57</v>
      </c>
      <c r="C2" s="658" t="s">
        <v>132</v>
      </c>
      <c r="D2" s="656"/>
      <c r="E2" s="656"/>
      <c r="F2" s="656"/>
      <c r="G2" s="656"/>
      <c r="H2" s="656"/>
      <c r="I2" s="656"/>
      <c r="J2" s="656"/>
      <c r="K2" s="657"/>
    </row>
    <row r="3" spans="2:21" ht="18" customHeight="1" x14ac:dyDescent="0.35">
      <c r="B3" s="315" t="s">
        <v>59</v>
      </c>
      <c r="C3" s="607" t="s">
        <v>133</v>
      </c>
      <c r="D3" s="608"/>
      <c r="E3" s="608"/>
      <c r="F3" s="608"/>
      <c r="G3" s="608"/>
      <c r="H3" s="608"/>
      <c r="I3" s="608"/>
      <c r="J3" s="608"/>
      <c r="K3" s="609"/>
    </row>
    <row r="4" spans="2:21" x14ac:dyDescent="0.35">
      <c r="B4" s="316"/>
      <c r="C4" s="613"/>
      <c r="D4" s="614"/>
      <c r="E4" s="614"/>
      <c r="F4" s="614"/>
      <c r="G4" s="614"/>
      <c r="H4" s="614"/>
      <c r="I4" s="614"/>
      <c r="J4" s="614"/>
      <c r="K4" s="615"/>
    </row>
    <row r="5" spans="2:21" x14ac:dyDescent="0.35">
      <c r="B5" s="70" t="s">
        <v>60</v>
      </c>
      <c r="C5" s="655">
        <v>2022</v>
      </c>
      <c r="D5" s="656"/>
      <c r="E5" s="656"/>
      <c r="F5" s="656"/>
      <c r="G5" s="656"/>
      <c r="H5" s="656"/>
      <c r="I5" s="656"/>
      <c r="J5" s="656"/>
      <c r="K5" s="657"/>
    </row>
    <row r="6" spans="2:21" x14ac:dyDescent="0.35">
      <c r="B6" s="70" t="s">
        <v>62</v>
      </c>
      <c r="C6" s="652" t="s">
        <v>134</v>
      </c>
      <c r="D6" s="653"/>
      <c r="E6" s="653"/>
      <c r="F6" s="653"/>
      <c r="G6" s="653"/>
      <c r="H6" s="653"/>
      <c r="I6" s="653"/>
      <c r="J6" s="653"/>
      <c r="K6" s="654"/>
    </row>
    <row r="11" spans="2:21" ht="20.399999999999999" thickBot="1" x14ac:dyDescent="0.4">
      <c r="B11" s="317" t="s">
        <v>545</v>
      </c>
      <c r="C11" s="318"/>
      <c r="D11" s="318"/>
      <c r="K11" s="247" t="s">
        <v>594</v>
      </c>
    </row>
    <row r="12" spans="2:21" ht="39" thickBot="1" x14ac:dyDescent="0.4">
      <c r="B12" s="360" t="s">
        <v>143</v>
      </c>
      <c r="C12" s="361" t="s">
        <v>553</v>
      </c>
      <c r="D12" s="318"/>
      <c r="K12" s="661"/>
      <c r="L12" s="659" t="s">
        <v>135</v>
      </c>
      <c r="M12" s="660"/>
      <c r="N12" s="659" t="s">
        <v>136</v>
      </c>
      <c r="O12" s="660"/>
      <c r="P12" s="659" t="s">
        <v>137</v>
      </c>
      <c r="Q12" s="660"/>
      <c r="R12" s="659" t="s">
        <v>138</v>
      </c>
      <c r="S12" s="660"/>
      <c r="T12" s="659" t="s">
        <v>139</v>
      </c>
      <c r="U12" s="660"/>
    </row>
    <row r="13" spans="2:21" ht="54.6" thickBot="1" x14ac:dyDescent="0.4">
      <c r="B13" s="320" t="s">
        <v>546</v>
      </c>
      <c r="C13" s="362">
        <v>170.48</v>
      </c>
      <c r="D13" s="322"/>
      <c r="K13" s="662"/>
      <c r="L13" s="323" t="s">
        <v>140</v>
      </c>
      <c r="M13" s="324" t="s">
        <v>547</v>
      </c>
      <c r="N13" s="323" t="s">
        <v>140</v>
      </c>
      <c r="O13" s="324" t="s">
        <v>547</v>
      </c>
      <c r="P13" s="323" t="s">
        <v>140</v>
      </c>
      <c r="Q13" s="324" t="s">
        <v>547</v>
      </c>
      <c r="R13" s="323" t="s">
        <v>140</v>
      </c>
      <c r="S13" s="324" t="s">
        <v>547</v>
      </c>
      <c r="T13" s="325" t="s">
        <v>140</v>
      </c>
      <c r="U13" s="324" t="s">
        <v>547</v>
      </c>
    </row>
    <row r="14" spans="2:21" ht="20.399999999999999" x14ac:dyDescent="0.35">
      <c r="B14" s="326" t="s">
        <v>548</v>
      </c>
      <c r="C14" s="363">
        <v>170.82414</v>
      </c>
      <c r="D14" s="322"/>
      <c r="K14" s="328" t="s">
        <v>141</v>
      </c>
      <c r="L14" s="329">
        <f>'Tatis Tables (2021)'!H36</f>
        <v>5</v>
      </c>
      <c r="M14" s="330">
        <f>L14/(SUM(L$14+L$15))</f>
        <v>0.41666666666666669</v>
      </c>
      <c r="N14" s="331">
        <f>'Tatis Tables (2021)'!H35</f>
        <v>8</v>
      </c>
      <c r="O14" s="330">
        <f>N14/(SUM(N$14+N$15))</f>
        <v>0.53333333333333333</v>
      </c>
      <c r="P14" s="331">
        <f>'Tatis Tables (2021)'!H34</f>
        <v>9</v>
      </c>
      <c r="Q14" s="330">
        <f>P14/(SUM(P$14+P$15))</f>
        <v>0.6428571428571429</v>
      </c>
      <c r="R14" s="331">
        <f>'Tatis Tables (2021)'!H33</f>
        <v>8</v>
      </c>
      <c r="S14" s="330">
        <f>R14/(SUM(R$14+R$15))</f>
        <v>0.72727272727272729</v>
      </c>
      <c r="T14" s="332">
        <f>'Tatis Tables (2021)'!H32</f>
        <v>12</v>
      </c>
      <c r="U14" s="330">
        <f>T14/(SUM(T$14+T$15))</f>
        <v>0.8571428571428571</v>
      </c>
    </row>
    <row r="15" spans="2:21" ht="21" thickBot="1" x14ac:dyDescent="0.4">
      <c r="B15" s="333" t="s">
        <v>549</v>
      </c>
      <c r="C15" s="364">
        <v>120.04</v>
      </c>
      <c r="D15" s="322"/>
      <c r="K15" s="323" t="s">
        <v>142</v>
      </c>
      <c r="L15" s="329">
        <f>'Tatis Tables (2021)'!J36</f>
        <v>7</v>
      </c>
      <c r="M15" s="330">
        <f>L15/(SUM(L$14+L$15))</f>
        <v>0.58333333333333337</v>
      </c>
      <c r="N15" s="331">
        <f>'Tatis Tables (2021)'!J35</f>
        <v>7</v>
      </c>
      <c r="O15" s="330">
        <f>N15/(SUM(N$14+N$15))</f>
        <v>0.46666666666666667</v>
      </c>
      <c r="P15" s="331">
        <f>'Tatis Tables (2021)'!J34</f>
        <v>5</v>
      </c>
      <c r="Q15" s="330">
        <f>P15/(SUM(P$14+P$15))</f>
        <v>0.35714285714285715</v>
      </c>
      <c r="R15" s="331">
        <f>'Tatis Tables (2021)'!J33</f>
        <v>3</v>
      </c>
      <c r="S15" s="335">
        <f>R15/(SUM(R$14+R$15))</f>
        <v>0.27272727272727271</v>
      </c>
      <c r="T15" s="336">
        <f>'Tatis Tables (2021)'!J32</f>
        <v>2</v>
      </c>
      <c r="U15" s="330">
        <f>T15/(SUM(T$14+T$15))</f>
        <v>0.14285714285714285</v>
      </c>
    </row>
    <row r="16" spans="2:21" ht="18.600000000000001" thickBot="1" x14ac:dyDescent="0.4">
      <c r="B16" s="337" t="s">
        <v>145</v>
      </c>
      <c r="C16" s="365">
        <v>113.55</v>
      </c>
      <c r="D16" s="338"/>
      <c r="L16" s="339"/>
      <c r="M16" s="339"/>
      <c r="N16" s="339"/>
      <c r="O16" s="339"/>
      <c r="P16" s="339"/>
      <c r="Q16" s="339"/>
      <c r="R16" s="339"/>
      <c r="U16" s="339"/>
    </row>
    <row r="17" spans="2:22" ht="39" thickBot="1" x14ac:dyDescent="0.4">
      <c r="B17" s="320"/>
      <c r="C17" s="361" t="s">
        <v>553</v>
      </c>
      <c r="D17" s="338"/>
    </row>
    <row r="18" spans="2:22" ht="18.600000000000001" thickBot="1" x14ac:dyDescent="0.4">
      <c r="B18" s="320" t="s">
        <v>148</v>
      </c>
      <c r="C18" s="362">
        <v>96.5</v>
      </c>
      <c r="D18" s="322"/>
      <c r="S18" s="247"/>
      <c r="T18" s="247"/>
      <c r="U18" s="247"/>
      <c r="V18" s="247"/>
    </row>
    <row r="19" spans="2:22" ht="18.600000000000001" thickBot="1" x14ac:dyDescent="0.4">
      <c r="B19" s="333" t="s">
        <v>150</v>
      </c>
      <c r="C19" s="364">
        <v>27.330000000000002</v>
      </c>
      <c r="D19" s="322"/>
      <c r="K19" s="663" t="s">
        <v>144</v>
      </c>
      <c r="L19" s="664"/>
      <c r="M19" s="664"/>
      <c r="N19" s="665"/>
      <c r="S19" s="247"/>
      <c r="T19" s="247"/>
      <c r="U19" s="247"/>
      <c r="V19" s="247"/>
    </row>
    <row r="20" spans="2:22" x14ac:dyDescent="0.35">
      <c r="B20" s="340" t="s">
        <v>152</v>
      </c>
      <c r="C20" s="362">
        <v>35.49</v>
      </c>
      <c r="D20" s="322"/>
      <c r="K20" s="252"/>
      <c r="L20" s="341" t="s">
        <v>146</v>
      </c>
      <c r="M20" s="341" t="s">
        <v>15</v>
      </c>
      <c r="N20" s="342" t="s">
        <v>16</v>
      </c>
      <c r="O20" s="343"/>
      <c r="S20" s="247"/>
      <c r="T20" s="247"/>
      <c r="U20" s="247"/>
      <c r="V20" s="247"/>
    </row>
    <row r="21" spans="2:22" x14ac:dyDescent="0.35">
      <c r="B21" s="344" t="s">
        <v>154</v>
      </c>
      <c r="C21" s="327">
        <v>28.61</v>
      </c>
      <c r="D21" s="322"/>
      <c r="K21" s="345" t="s">
        <v>147</v>
      </c>
      <c r="L21" s="343">
        <v>40</v>
      </c>
      <c r="M21" s="343">
        <v>60</v>
      </c>
      <c r="N21" s="346">
        <v>80</v>
      </c>
      <c r="O21" s="20"/>
    </row>
    <row r="22" spans="2:22" ht="18.600000000000001" thickBot="1" x14ac:dyDescent="0.4">
      <c r="B22" s="347" t="s">
        <v>155</v>
      </c>
      <c r="C22" s="334">
        <v>112.86200000000001</v>
      </c>
      <c r="D22" s="322"/>
      <c r="K22" s="345" t="s">
        <v>149</v>
      </c>
      <c r="L22" s="343">
        <v>4.2</v>
      </c>
      <c r="M22" s="343">
        <v>4.2</v>
      </c>
      <c r="N22" s="346">
        <v>4.2</v>
      </c>
      <c r="O22" s="20"/>
    </row>
    <row r="23" spans="2:22" ht="20.399999999999999" x14ac:dyDescent="0.35">
      <c r="B23" s="320" t="s">
        <v>550</v>
      </c>
      <c r="C23" s="321">
        <v>130.02999999999997</v>
      </c>
      <c r="D23" s="322"/>
      <c r="K23" s="345" t="s">
        <v>151</v>
      </c>
      <c r="L23" s="348">
        <f>L21-L22</f>
        <v>35.799999999999997</v>
      </c>
      <c r="M23" s="348">
        <f t="shared" ref="M23:N23" si="0">M21-M22</f>
        <v>55.8</v>
      </c>
      <c r="N23" s="349">
        <f t="shared" si="0"/>
        <v>75.8</v>
      </c>
      <c r="O23" s="20"/>
    </row>
    <row r="24" spans="2:22" ht="21" thickBot="1" x14ac:dyDescent="0.4">
      <c r="B24" s="326" t="s">
        <v>551</v>
      </c>
      <c r="C24" s="327">
        <v>81.169999999999987</v>
      </c>
      <c r="D24" s="322"/>
      <c r="K24" s="350" t="s">
        <v>153</v>
      </c>
      <c r="L24" s="351">
        <f>(((L23*$M$14)*$C$19)+((L23*$M$15)*$C$20))/1000</f>
        <v>1.148822</v>
      </c>
      <c r="M24" s="351">
        <f>(((M23*$M$14)*$C$19)+((M23*$M$15)*$C$20))/1000</f>
        <v>1.7906219999999999</v>
      </c>
      <c r="N24" s="352">
        <f>(((N23*$M$14)*$C$19)+((N23*$M$15)*$C$20))/1000</f>
        <v>2.4324219999999999</v>
      </c>
      <c r="O24" s="20"/>
    </row>
    <row r="25" spans="2:22" ht="21" thickBot="1" x14ac:dyDescent="0.4">
      <c r="B25" s="333" t="s">
        <v>552</v>
      </c>
      <c r="C25" s="334">
        <v>102.08</v>
      </c>
      <c r="D25" s="322"/>
      <c r="K25" s="248"/>
      <c r="L25" s="247"/>
      <c r="M25" s="247"/>
      <c r="N25" s="247"/>
      <c r="O25" s="20"/>
    </row>
    <row r="26" spans="2:22" ht="18.600000000000001" thickBot="1" x14ac:dyDescent="0.4">
      <c r="C26" s="322"/>
      <c r="D26" s="322"/>
      <c r="K26" s="248"/>
      <c r="N26" s="20"/>
      <c r="O26" s="20"/>
      <c r="P26" s="20"/>
      <c r="Q26" s="20"/>
    </row>
    <row r="27" spans="2:22" ht="18.600000000000001" thickBot="1" x14ac:dyDescent="0.4">
      <c r="C27" s="322"/>
      <c r="D27" s="322"/>
      <c r="K27" s="663" t="s">
        <v>156</v>
      </c>
      <c r="L27" s="664"/>
      <c r="M27" s="664"/>
      <c r="N27" s="665"/>
      <c r="O27" s="20"/>
      <c r="P27" s="20"/>
      <c r="Q27" s="20"/>
    </row>
    <row r="28" spans="2:22" x14ac:dyDescent="0.35">
      <c r="C28" s="322"/>
      <c r="D28" s="322"/>
      <c r="K28" s="353"/>
      <c r="L28" s="250" t="s">
        <v>146</v>
      </c>
      <c r="M28" s="250" t="s">
        <v>15</v>
      </c>
      <c r="N28" s="251" t="s">
        <v>16</v>
      </c>
    </row>
    <row r="29" spans="2:22" x14ac:dyDescent="0.35">
      <c r="C29" s="322"/>
      <c r="D29" s="322"/>
      <c r="K29" s="354" t="s">
        <v>157</v>
      </c>
      <c r="L29" s="355">
        <v>20</v>
      </c>
      <c r="M29" s="355">
        <v>30</v>
      </c>
      <c r="N29" s="356">
        <v>39.9</v>
      </c>
    </row>
    <row r="30" spans="2:22" x14ac:dyDescent="0.35">
      <c r="K30" s="354" t="s">
        <v>149</v>
      </c>
      <c r="L30" s="343">
        <v>4.2</v>
      </c>
      <c r="M30" s="343">
        <v>4.2</v>
      </c>
      <c r="N30" s="346">
        <v>4.2</v>
      </c>
    </row>
    <row r="31" spans="2:22" x14ac:dyDescent="0.35">
      <c r="K31" s="354" t="s">
        <v>151</v>
      </c>
      <c r="L31" s="355">
        <f>L29-L30</f>
        <v>15.8</v>
      </c>
      <c r="M31" s="355">
        <f>M29-M30</f>
        <v>25.8</v>
      </c>
      <c r="N31" s="356">
        <f>N29-N30</f>
        <v>35.699999999999996</v>
      </c>
    </row>
    <row r="32" spans="2:22" ht="18.600000000000001" thickBot="1" x14ac:dyDescent="0.4">
      <c r="K32" s="357" t="s">
        <v>153</v>
      </c>
      <c r="L32" s="358">
        <f>(((L31*$O$14)*$C$19)+((L31*$O$15)*$C$20))/1000</f>
        <v>0.4919804000000001</v>
      </c>
      <c r="M32" s="358">
        <f>(((M31*$O$14)*$C$19)+((M31*$O$15)*$C$20))/1000</f>
        <v>0.80336039999999997</v>
      </c>
      <c r="N32" s="359">
        <f>(((N31*$O$14)*$C$19)+((N31*$O$15)*$C$20))/1000</f>
        <v>1.1116266000000001</v>
      </c>
    </row>
    <row r="33" spans="11:14" ht="18.600000000000001" thickBot="1" x14ac:dyDescent="0.4">
      <c r="K33" s="355"/>
      <c r="L33" s="355"/>
      <c r="M33" s="355"/>
      <c r="N33" s="355"/>
    </row>
    <row r="34" spans="11:14" ht="18.600000000000001" thickBot="1" x14ac:dyDescent="0.4">
      <c r="K34" s="663" t="s">
        <v>158</v>
      </c>
      <c r="L34" s="664"/>
      <c r="M34" s="664"/>
      <c r="N34" s="665"/>
    </row>
    <row r="35" spans="11:14" x14ac:dyDescent="0.35">
      <c r="K35" s="319"/>
      <c r="L35" s="250" t="s">
        <v>146</v>
      </c>
      <c r="M35" s="250" t="s">
        <v>15</v>
      </c>
      <c r="N35" s="251" t="s">
        <v>16</v>
      </c>
    </row>
    <row r="36" spans="11:14" x14ac:dyDescent="0.35">
      <c r="K36" s="354" t="s">
        <v>157</v>
      </c>
      <c r="L36" s="355">
        <v>15</v>
      </c>
      <c r="M36" s="355">
        <v>17.5</v>
      </c>
      <c r="N36" s="356">
        <v>19.899999999999999</v>
      </c>
    </row>
    <row r="37" spans="11:14" x14ac:dyDescent="0.35">
      <c r="K37" s="354" t="s">
        <v>149</v>
      </c>
      <c r="L37" s="343">
        <v>4.2</v>
      </c>
      <c r="M37" s="343">
        <v>4.2</v>
      </c>
      <c r="N37" s="346">
        <v>4.2</v>
      </c>
    </row>
    <row r="38" spans="11:14" x14ac:dyDescent="0.35">
      <c r="K38" s="354" t="s">
        <v>151</v>
      </c>
      <c r="L38" s="355">
        <f>L36-L37</f>
        <v>10.8</v>
      </c>
      <c r="M38" s="355">
        <f t="shared" ref="M38:N38" si="1">M36-M37</f>
        <v>13.3</v>
      </c>
      <c r="N38" s="356">
        <f t="shared" si="1"/>
        <v>15.7</v>
      </c>
    </row>
    <row r="39" spans="11:14" ht="18.600000000000001" thickBot="1" x14ac:dyDescent="0.4">
      <c r="K39" s="357" t="s">
        <v>153</v>
      </c>
      <c r="L39" s="358">
        <f>(((L38*$Q$14)*$C$19)+((L38*$Q$15)*$C$20))/1000</f>
        <v>0.32663828571428577</v>
      </c>
      <c r="M39" s="358">
        <f>(((M38*$Q$14)*$C$19)+((M38*$Q$15)*$C$20))/1000</f>
        <v>0.40224900000000002</v>
      </c>
      <c r="N39" s="359">
        <f>(((N38*$Q$14)*$C$19)+((N38*$Q$15)*$C$20))/1000</f>
        <v>0.47483528571428574</v>
      </c>
    </row>
    <row r="40" spans="11:14" ht="18.600000000000001" thickBot="1" x14ac:dyDescent="0.4">
      <c r="K40" s="355"/>
      <c r="L40" s="355"/>
      <c r="M40" s="355"/>
      <c r="N40" s="355"/>
    </row>
    <row r="41" spans="11:14" ht="18.600000000000001" thickBot="1" x14ac:dyDescent="0.4">
      <c r="K41" s="663" t="s">
        <v>159</v>
      </c>
      <c r="L41" s="664"/>
      <c r="M41" s="664"/>
      <c r="N41" s="665"/>
    </row>
    <row r="42" spans="11:14" x14ac:dyDescent="0.35">
      <c r="K42" s="319"/>
      <c r="L42" s="250" t="s">
        <v>146</v>
      </c>
      <c r="M42" s="250" t="s">
        <v>15</v>
      </c>
      <c r="N42" s="251" t="s">
        <v>16</v>
      </c>
    </row>
    <row r="43" spans="11:14" x14ac:dyDescent="0.35">
      <c r="K43" s="354" t="s">
        <v>157</v>
      </c>
      <c r="L43" s="355">
        <v>10</v>
      </c>
      <c r="M43" s="355">
        <v>12.5</v>
      </c>
      <c r="N43" s="356">
        <v>14.9</v>
      </c>
    </row>
    <row r="44" spans="11:14" x14ac:dyDescent="0.35">
      <c r="K44" s="354" t="s">
        <v>149</v>
      </c>
      <c r="L44" s="343">
        <v>4.2</v>
      </c>
      <c r="M44" s="343">
        <v>4.2</v>
      </c>
      <c r="N44" s="346">
        <v>4.2</v>
      </c>
    </row>
    <row r="45" spans="11:14" x14ac:dyDescent="0.35">
      <c r="K45" s="354" t="s">
        <v>151</v>
      </c>
      <c r="L45" s="355">
        <f>L43-L44</f>
        <v>5.8</v>
      </c>
      <c r="M45" s="355">
        <f t="shared" ref="M45" si="2">M43-M44</f>
        <v>8.3000000000000007</v>
      </c>
      <c r="N45" s="356">
        <f>N43-N44</f>
        <v>10.7</v>
      </c>
    </row>
    <row r="46" spans="11:14" ht="18.600000000000001" thickBot="1" x14ac:dyDescent="0.4">
      <c r="K46" s="357" t="s">
        <v>153</v>
      </c>
      <c r="L46" s="358">
        <f>(((L45*$S$14)*$C$19)+((L45*$S$15)*$C$20))/1000</f>
        <v>0.17142163636363636</v>
      </c>
      <c r="M46" s="358">
        <f>(((M45*$S$14)*$C$19)+((M45*$S$15)*$C$20))/1000</f>
        <v>0.24531027272727277</v>
      </c>
      <c r="N46" s="359">
        <f>(((N45*$S$14)*$C$19)+((N45*$S$15)*$C$20))/1000</f>
        <v>0.31624336363636363</v>
      </c>
    </row>
    <row r="47" spans="11:14" ht="18.600000000000001" thickBot="1" x14ac:dyDescent="0.4">
      <c r="K47" s="355"/>
      <c r="L47" s="355"/>
      <c r="M47" s="355"/>
      <c r="N47" s="355"/>
    </row>
    <row r="48" spans="11:14" ht="18.600000000000001" thickBot="1" x14ac:dyDescent="0.4">
      <c r="K48" s="663" t="s">
        <v>160</v>
      </c>
      <c r="L48" s="664"/>
      <c r="M48" s="664"/>
      <c r="N48" s="665"/>
    </row>
    <row r="49" spans="11:14" x14ac:dyDescent="0.35">
      <c r="K49" s="319"/>
      <c r="L49" s="250" t="s">
        <v>146</v>
      </c>
      <c r="M49" s="250" t="s">
        <v>15</v>
      </c>
      <c r="N49" s="251" t="s">
        <v>16</v>
      </c>
    </row>
    <row r="50" spans="11:14" x14ac:dyDescent="0.35">
      <c r="K50" s="354" t="s">
        <v>157</v>
      </c>
      <c r="L50" s="355">
        <v>5</v>
      </c>
      <c r="M50" s="355">
        <v>7.5</v>
      </c>
      <c r="N50" s="356">
        <v>9.9</v>
      </c>
    </row>
    <row r="51" spans="11:14" x14ac:dyDescent="0.35">
      <c r="K51" s="354" t="s">
        <v>149</v>
      </c>
      <c r="L51" s="343">
        <v>4.2</v>
      </c>
      <c r="M51" s="343">
        <v>4.2</v>
      </c>
      <c r="N51" s="346">
        <v>4.2</v>
      </c>
    </row>
    <row r="52" spans="11:14" x14ac:dyDescent="0.35">
      <c r="K52" s="354" t="s">
        <v>151</v>
      </c>
      <c r="L52" s="355">
        <f>L50-L51</f>
        <v>0.79999999999999982</v>
      </c>
      <c r="M52" s="355">
        <f t="shared" ref="M52" si="3">M50-M51</f>
        <v>3.3</v>
      </c>
      <c r="N52" s="356">
        <f>N50-N51</f>
        <v>5.7</v>
      </c>
    </row>
    <row r="53" spans="11:14" ht="18.600000000000001" thickBot="1" x14ac:dyDescent="0.4">
      <c r="K53" s="357" t="s">
        <v>153</v>
      </c>
      <c r="L53" s="358">
        <f>(((L52*$U$14)*$C$19)+((L52*$U$15)*$C$20))/1000</f>
        <v>2.2796571428571426E-2</v>
      </c>
      <c r="M53" s="358">
        <f>(((M52*$U$14)*$C$19)+((M52*$U$15)*$C$20))/1000</f>
        <v>9.4035857142857143E-2</v>
      </c>
      <c r="N53" s="359">
        <f>(((N52*$U$14)*$C$19)+((N52*$U$15)*$C$20))/1000</f>
        <v>0.16242557142857142</v>
      </c>
    </row>
  </sheetData>
  <sheetProtection algorithmName="SHA-512" hashValue="ka5gQmB1RbrVgrJJmq+xY3bZx9KNpBN2VId3MHZshcnU4vsD3CQXwsQjb4okyd/BOHOv0o/H6GvGMRoLJ27kXQ==" saltValue="RU03R36KgX7SgJss8oJBQw==" spinCount="100000" sheet="1" objects="1" scenarios="1"/>
  <mergeCells count="15">
    <mergeCell ref="T12:U12"/>
    <mergeCell ref="K12:K13"/>
    <mergeCell ref="P12:Q12"/>
    <mergeCell ref="K48:N48"/>
    <mergeCell ref="K19:N19"/>
    <mergeCell ref="K27:N27"/>
    <mergeCell ref="L12:M12"/>
    <mergeCell ref="N12:O12"/>
    <mergeCell ref="K41:N41"/>
    <mergeCell ref="K34:N34"/>
    <mergeCell ref="C6:K6"/>
    <mergeCell ref="C5:K5"/>
    <mergeCell ref="C3:K4"/>
    <mergeCell ref="C2:K2"/>
    <mergeCell ref="R12:S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6E27C-5628-4CF1-A152-7B997B888D15}">
  <sheetPr>
    <tabColor theme="5" tint="0.59999389629810485"/>
  </sheetPr>
  <dimension ref="A2:BD161"/>
  <sheetViews>
    <sheetView showGridLines="0" topLeftCell="A8" zoomScaleNormal="100" workbookViewId="0">
      <selection activeCell="A8" sqref="A8"/>
    </sheetView>
  </sheetViews>
  <sheetFormatPr defaultColWidth="11.44140625" defaultRowHeight="18" x14ac:dyDescent="0.35"/>
  <cols>
    <col min="1" max="1" width="15.44140625" style="19" customWidth="1"/>
    <col min="2" max="2" width="18" style="19" customWidth="1"/>
    <col min="3" max="3" width="19.44140625" style="19" customWidth="1"/>
    <col min="4" max="4" width="14.5546875" style="19" customWidth="1"/>
    <col min="5" max="5" width="23.5546875" style="19" bestFit="1" customWidth="1"/>
    <col min="6" max="6" width="23.44140625" style="19" bestFit="1" customWidth="1"/>
    <col min="7" max="7" width="23.5546875" style="19" bestFit="1" customWidth="1"/>
    <col min="8" max="8" width="14.5546875" style="19" customWidth="1"/>
    <col min="9" max="9" width="23.5546875" style="19" bestFit="1" customWidth="1"/>
    <col min="10" max="10" width="23.44140625" style="19" bestFit="1" customWidth="1"/>
    <col min="11" max="11" width="23.5546875" style="19" bestFit="1" customWidth="1"/>
    <col min="12" max="12" width="14.5546875" style="19" customWidth="1"/>
    <col min="13" max="13" width="23.5546875" style="19" bestFit="1" customWidth="1"/>
    <col min="14" max="14" width="23.44140625" style="19" bestFit="1" customWidth="1"/>
    <col min="15" max="15" width="23.5546875" style="19" bestFit="1" customWidth="1"/>
    <col min="16" max="16" width="14.5546875" style="366" customWidth="1"/>
    <col min="17" max="17" width="23.5546875" style="366" bestFit="1" customWidth="1"/>
    <col min="18" max="18" width="23.44140625" style="366" bestFit="1" customWidth="1"/>
    <col min="19" max="19" width="23.5546875" style="366" bestFit="1" customWidth="1"/>
    <col min="20" max="20" width="14.5546875" style="366" customWidth="1"/>
    <col min="21" max="21" width="23.5546875" style="366" bestFit="1" customWidth="1"/>
    <col min="22" max="22" width="23.44140625" style="366" bestFit="1" customWidth="1"/>
    <col min="23" max="23" width="23.5546875" style="366" bestFit="1" customWidth="1"/>
    <col min="24" max="24" width="14.5546875" style="366" customWidth="1"/>
    <col min="25" max="25" width="23.5546875" style="366" bestFit="1" customWidth="1"/>
    <col min="26" max="26" width="23.44140625" style="366" bestFit="1" customWidth="1"/>
    <col min="27" max="27" width="23.5546875" style="366" bestFit="1" customWidth="1"/>
    <col min="28" max="28" width="14.5546875" style="19" customWidth="1"/>
    <col min="29" max="29" width="23.5546875" style="19" bestFit="1" customWidth="1"/>
    <col min="30" max="30" width="23.44140625" style="19" bestFit="1" customWidth="1"/>
    <col min="31" max="31" width="23.5546875" style="19" bestFit="1" customWidth="1"/>
    <col min="32" max="32" width="14.5546875" style="19" customWidth="1"/>
    <col min="33" max="33" width="23.5546875" style="19" bestFit="1" customWidth="1"/>
    <col min="34" max="34" width="23.44140625" style="19" bestFit="1" customWidth="1"/>
    <col min="35" max="35" width="23.5546875" style="19" bestFit="1" customWidth="1"/>
    <col min="36" max="36" width="32.5546875" style="19" customWidth="1"/>
    <col min="37" max="16384" width="11.44140625" style="19"/>
  </cols>
  <sheetData>
    <row r="2" spans="1:54" x14ac:dyDescent="0.35">
      <c r="B2" s="602" t="s">
        <v>57</v>
      </c>
      <c r="C2" s="603"/>
      <c r="D2" s="670" t="s">
        <v>161</v>
      </c>
      <c r="E2" s="671"/>
      <c r="F2" s="671"/>
      <c r="G2" s="671"/>
      <c r="H2" s="671"/>
      <c r="I2" s="671"/>
      <c r="J2" s="671"/>
      <c r="K2" s="671"/>
      <c r="L2" s="671"/>
      <c r="M2" s="672"/>
    </row>
    <row r="3" spans="1:54" x14ac:dyDescent="0.35">
      <c r="B3" s="673" t="s">
        <v>59</v>
      </c>
      <c r="C3" s="674"/>
      <c r="D3" s="679" t="s">
        <v>162</v>
      </c>
      <c r="E3" s="680"/>
      <c r="F3" s="680"/>
      <c r="G3" s="680"/>
      <c r="H3" s="680"/>
      <c r="I3" s="680"/>
      <c r="J3" s="680"/>
      <c r="K3" s="680"/>
      <c r="L3" s="680"/>
      <c r="M3" s="681"/>
    </row>
    <row r="4" spans="1:54" ht="14.55" customHeight="1" x14ac:dyDescent="0.35">
      <c r="B4" s="675"/>
      <c r="C4" s="676"/>
      <c r="D4" s="682"/>
      <c r="E4" s="683"/>
      <c r="F4" s="683"/>
      <c r="G4" s="683"/>
      <c r="H4" s="683"/>
      <c r="I4" s="683"/>
      <c r="J4" s="683"/>
      <c r="K4" s="683"/>
      <c r="L4" s="683"/>
      <c r="M4" s="684"/>
    </row>
    <row r="5" spans="1:54" ht="14.55" customHeight="1" x14ac:dyDescent="0.35">
      <c r="B5" s="677"/>
      <c r="C5" s="678"/>
      <c r="D5" s="685"/>
      <c r="E5" s="686"/>
      <c r="F5" s="686"/>
      <c r="G5" s="686"/>
      <c r="H5" s="686"/>
      <c r="I5" s="686"/>
      <c r="J5" s="686"/>
      <c r="K5" s="686"/>
      <c r="L5" s="686"/>
      <c r="M5" s="687"/>
    </row>
    <row r="6" spans="1:54" x14ac:dyDescent="0.35">
      <c r="B6" s="597" t="s">
        <v>60</v>
      </c>
      <c r="C6" s="598"/>
      <c r="D6" s="599">
        <v>2023</v>
      </c>
      <c r="E6" s="600"/>
      <c r="F6" s="600"/>
      <c r="G6" s="600"/>
      <c r="H6" s="600"/>
      <c r="I6" s="600"/>
      <c r="J6" s="600"/>
      <c r="K6" s="600"/>
      <c r="L6" s="600"/>
      <c r="M6" s="601"/>
    </row>
    <row r="7" spans="1:54" x14ac:dyDescent="0.35">
      <c r="B7" s="597" t="s">
        <v>62</v>
      </c>
      <c r="C7" s="598"/>
      <c r="D7" s="599" t="s">
        <v>163</v>
      </c>
      <c r="E7" s="600"/>
      <c r="F7" s="600"/>
      <c r="G7" s="600"/>
      <c r="H7" s="600"/>
      <c r="I7" s="600"/>
      <c r="J7" s="600"/>
      <c r="K7" s="600"/>
      <c r="L7" s="600"/>
      <c r="M7" s="601"/>
    </row>
    <row r="10" spans="1:54" s="367" customFormat="1" x14ac:dyDescent="0.35">
      <c r="A10" s="367" t="s">
        <v>164</v>
      </c>
    </row>
    <row r="11" spans="1:54" x14ac:dyDescent="0.35">
      <c r="A11" s="368" t="s">
        <v>165</v>
      </c>
      <c r="B11" s="368"/>
      <c r="C11" s="368"/>
      <c r="D11" s="368"/>
      <c r="E11" s="368"/>
      <c r="F11" s="368"/>
      <c r="G11" s="366"/>
      <c r="H11" s="366"/>
      <c r="I11" s="366"/>
      <c r="J11" s="366"/>
      <c r="K11" s="366"/>
      <c r="L11" s="366"/>
      <c r="M11" s="366"/>
      <c r="N11" s="366"/>
      <c r="O11" s="366"/>
      <c r="AB11" s="366"/>
      <c r="AC11" s="366"/>
      <c r="AD11" s="366"/>
      <c r="AE11" s="366"/>
      <c r="AF11" s="366"/>
      <c r="AG11" s="366"/>
      <c r="AH11" s="366"/>
      <c r="AI11" s="366"/>
      <c r="AJ11" s="366"/>
      <c r="AK11" s="366"/>
      <c r="AL11" s="366"/>
      <c r="AM11" s="366"/>
      <c r="AN11" s="366"/>
      <c r="AO11" s="366"/>
      <c r="AP11" s="366"/>
      <c r="AQ11" s="366"/>
      <c r="AR11" s="366"/>
      <c r="AS11" s="366"/>
      <c r="AT11" s="366"/>
      <c r="AU11" s="366"/>
      <c r="AV11" s="366"/>
      <c r="AW11" s="366"/>
      <c r="AX11" s="366"/>
      <c r="AY11" s="366"/>
      <c r="AZ11" s="366"/>
      <c r="BA11" s="366"/>
      <c r="BB11" s="366"/>
    </row>
    <row r="12" spans="1:54" x14ac:dyDescent="0.35">
      <c r="A12" s="369" t="s">
        <v>166</v>
      </c>
      <c r="B12" s="366"/>
      <c r="C12" s="366"/>
      <c r="D12" s="366"/>
      <c r="E12" s="366"/>
      <c r="F12" s="366"/>
      <c r="G12" s="366"/>
      <c r="H12" s="366"/>
      <c r="I12" s="366"/>
      <c r="J12" s="366"/>
      <c r="K12" s="366"/>
      <c r="L12" s="366"/>
      <c r="M12" s="366"/>
      <c r="N12" s="366"/>
      <c r="O12" s="366"/>
      <c r="AB12" s="366"/>
      <c r="AC12" s="366"/>
      <c r="AD12" s="366"/>
      <c r="AE12" s="366"/>
      <c r="AF12" s="366"/>
      <c r="AG12" s="366"/>
      <c r="AH12" s="366"/>
      <c r="AI12" s="366"/>
      <c r="AJ12" s="366"/>
      <c r="AK12" s="366"/>
      <c r="AL12" s="366"/>
      <c r="AM12" s="366"/>
      <c r="AN12" s="366"/>
      <c r="AO12" s="366"/>
      <c r="AP12" s="366"/>
      <c r="AQ12" s="366"/>
      <c r="AR12" s="366"/>
      <c r="AS12" s="366"/>
      <c r="AT12" s="366"/>
      <c r="AU12" s="366"/>
      <c r="AV12" s="366"/>
      <c r="AW12" s="366"/>
      <c r="AX12" s="366"/>
      <c r="AY12" s="366"/>
      <c r="AZ12" s="366"/>
      <c r="BA12" s="366"/>
      <c r="BB12" s="366"/>
    </row>
    <row r="13" spans="1:54" ht="18.600000000000001" thickBot="1" x14ac:dyDescent="0.4">
      <c r="A13" s="366"/>
      <c r="B13" s="366"/>
      <c r="C13" s="366"/>
      <c r="D13" s="366"/>
      <c r="E13" s="366"/>
      <c r="F13" s="366"/>
      <c r="G13" s="366"/>
      <c r="H13" s="366"/>
      <c r="I13" s="366"/>
      <c r="J13" s="366"/>
      <c r="K13" s="366"/>
      <c r="L13" s="366"/>
      <c r="M13" s="366"/>
      <c r="N13" s="366"/>
      <c r="O13" s="366"/>
      <c r="AB13" s="366"/>
      <c r="AC13" s="366"/>
      <c r="AD13" s="366"/>
      <c r="AE13" s="366"/>
      <c r="AF13" s="366"/>
      <c r="AG13" s="366"/>
      <c r="AH13" s="366"/>
      <c r="AI13" s="366"/>
      <c r="AJ13" s="366"/>
      <c r="AK13" s="366"/>
      <c r="AL13" s="366"/>
      <c r="AM13" s="366"/>
      <c r="AN13" s="366"/>
      <c r="AO13" s="366"/>
      <c r="AP13" s="366"/>
      <c r="AQ13" s="366"/>
      <c r="AR13" s="366"/>
      <c r="AS13" s="366"/>
      <c r="AT13" s="366"/>
      <c r="AU13" s="366"/>
      <c r="AV13" s="366"/>
      <c r="AW13" s="366"/>
      <c r="AX13" s="366"/>
      <c r="AY13" s="366"/>
      <c r="AZ13" s="366"/>
      <c r="BA13" s="366"/>
      <c r="BB13" s="366"/>
    </row>
    <row r="14" spans="1:54" ht="36.6" thickTop="1" x14ac:dyDescent="0.35">
      <c r="A14" s="370" t="s">
        <v>167</v>
      </c>
      <c r="B14" s="371" t="s">
        <v>165</v>
      </c>
      <c r="C14" s="372" t="s">
        <v>168</v>
      </c>
      <c r="D14" s="373">
        <v>45453</v>
      </c>
      <c r="E14" s="374" t="s">
        <v>169</v>
      </c>
      <c r="F14" s="373" t="s">
        <v>170</v>
      </c>
      <c r="G14" s="366"/>
      <c r="H14" s="366"/>
      <c r="I14" s="366"/>
      <c r="J14" s="366"/>
      <c r="K14" s="366"/>
      <c r="L14" s="366"/>
      <c r="M14" s="366"/>
      <c r="N14" s="366"/>
      <c r="O14" s="366"/>
      <c r="AB14" s="366"/>
      <c r="AC14" s="366"/>
      <c r="AD14" s="366"/>
      <c r="AE14" s="366"/>
      <c r="AF14" s="366"/>
      <c r="AG14" s="366"/>
      <c r="AH14" s="366"/>
      <c r="AI14" s="366"/>
      <c r="AJ14" s="366"/>
      <c r="AK14" s="366"/>
      <c r="AL14" s="366"/>
      <c r="AM14" s="366"/>
      <c r="AN14" s="366"/>
      <c r="AO14" s="366"/>
      <c r="AP14" s="366"/>
      <c r="AQ14" s="366"/>
      <c r="AR14" s="366"/>
      <c r="AS14" s="366"/>
      <c r="AT14" s="366"/>
      <c r="AU14" s="366"/>
      <c r="AV14" s="366"/>
      <c r="AW14" s="366"/>
      <c r="AX14" s="366"/>
      <c r="AY14" s="366"/>
      <c r="AZ14" s="366"/>
      <c r="BA14" s="366"/>
      <c r="BB14" s="366"/>
    </row>
    <row r="15" spans="1:54" ht="18.600000000000001" thickBot="1" x14ac:dyDescent="0.4">
      <c r="A15" s="375" t="s">
        <v>171</v>
      </c>
      <c r="B15" s="376" t="s">
        <v>172</v>
      </c>
      <c r="C15" s="375" t="s">
        <v>173</v>
      </c>
      <c r="D15" s="377">
        <v>1.1000000000000001</v>
      </c>
      <c r="E15" s="378" t="s">
        <v>174</v>
      </c>
      <c r="F15" s="379">
        <v>2023</v>
      </c>
      <c r="G15" s="366"/>
      <c r="H15" s="366"/>
      <c r="I15" s="366"/>
      <c r="J15" s="366"/>
      <c r="K15" s="366"/>
      <c r="L15" s="366"/>
      <c r="M15" s="366"/>
      <c r="N15" s="366"/>
      <c r="O15" s="366"/>
      <c r="AB15" s="366"/>
      <c r="AC15" s="366"/>
      <c r="AD15" s="366"/>
      <c r="AE15" s="366"/>
      <c r="AF15" s="366"/>
      <c r="AG15" s="366"/>
      <c r="AH15" s="366"/>
      <c r="AI15" s="366"/>
      <c r="AJ15" s="366"/>
      <c r="AK15" s="366"/>
      <c r="AL15" s="366"/>
      <c r="AM15" s="366"/>
      <c r="AN15" s="366"/>
      <c r="AO15" s="366"/>
      <c r="AP15" s="366"/>
      <c r="AQ15" s="366"/>
      <c r="AR15" s="366"/>
      <c r="AS15" s="366"/>
      <c r="AT15" s="366"/>
      <c r="AU15" s="366"/>
      <c r="AV15" s="366"/>
      <c r="AW15" s="366"/>
      <c r="AX15" s="366"/>
      <c r="AY15" s="366"/>
      <c r="AZ15" s="366"/>
      <c r="BA15" s="366"/>
      <c r="BB15" s="366"/>
    </row>
    <row r="16" spans="1:54" ht="19.2" thickTop="1" thickBot="1" x14ac:dyDescent="0.4">
      <c r="A16" s="366"/>
      <c r="B16" s="366"/>
      <c r="C16" s="366"/>
      <c r="D16" s="366"/>
      <c r="E16" s="366"/>
      <c r="F16" s="366"/>
      <c r="G16" s="366"/>
      <c r="H16" s="366"/>
      <c r="I16" s="366"/>
      <c r="J16" s="366"/>
      <c r="K16" s="366"/>
      <c r="L16" s="366"/>
      <c r="M16" s="366"/>
      <c r="N16" s="366"/>
      <c r="O16" s="366"/>
      <c r="AB16" s="366"/>
      <c r="AC16" s="366"/>
      <c r="AD16" s="366"/>
      <c r="AE16" s="366"/>
      <c r="AF16" s="366"/>
      <c r="AG16" s="366"/>
      <c r="AH16" s="366"/>
      <c r="AI16" s="366"/>
      <c r="AJ16" s="366"/>
      <c r="AK16" s="366"/>
      <c r="AL16" s="366"/>
      <c r="AM16" s="366"/>
      <c r="AN16" s="366"/>
      <c r="AO16" s="366"/>
      <c r="AP16" s="366"/>
      <c r="AQ16" s="366"/>
      <c r="AR16" s="366"/>
      <c r="AS16" s="366"/>
      <c r="AT16" s="366"/>
      <c r="AU16" s="366"/>
      <c r="AV16" s="366"/>
      <c r="AW16" s="366"/>
      <c r="AX16" s="366"/>
      <c r="AY16" s="366"/>
      <c r="AZ16" s="366"/>
      <c r="BA16" s="366"/>
      <c r="BB16" s="366"/>
    </row>
    <row r="17" spans="1:56" ht="35.25" customHeight="1" thickTop="1" thickBot="1" x14ac:dyDescent="0.4">
      <c r="A17" s="714" t="s">
        <v>175</v>
      </c>
      <c r="B17" s="715"/>
      <c r="C17" s="715"/>
      <c r="D17" s="715"/>
      <c r="E17" s="715"/>
      <c r="F17" s="715"/>
      <c r="G17" s="715"/>
      <c r="H17" s="715"/>
      <c r="I17" s="715"/>
      <c r="J17" s="715"/>
      <c r="K17" s="715"/>
      <c r="L17" s="716"/>
      <c r="M17" s="380"/>
      <c r="N17" s="366"/>
      <c r="O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6"/>
      <c r="AX17" s="366"/>
      <c r="AY17" s="366"/>
      <c r="AZ17" s="366"/>
      <c r="BA17" s="366"/>
      <c r="BB17" s="366"/>
    </row>
    <row r="18" spans="1:56" ht="18.600000000000001" thickTop="1" x14ac:dyDescent="0.35">
      <c r="A18" s="381"/>
      <c r="B18" s="381"/>
      <c r="C18" s="381"/>
      <c r="D18" s="381"/>
      <c r="E18" s="381"/>
      <c r="F18" s="381"/>
      <c r="G18" s="381"/>
      <c r="H18" s="381"/>
      <c r="I18" s="381"/>
      <c r="J18" s="381"/>
      <c r="K18" s="381"/>
      <c r="L18" s="381"/>
      <c r="M18" s="382"/>
      <c r="N18" s="382"/>
      <c r="O18" s="382"/>
      <c r="AB18" s="366"/>
      <c r="AC18" s="366"/>
      <c r="AD18" s="366"/>
      <c r="AE18" s="366"/>
      <c r="AF18" s="366"/>
      <c r="AG18" s="366"/>
      <c r="AH18" s="366"/>
      <c r="AI18" s="366"/>
      <c r="AJ18" s="366"/>
      <c r="AK18" s="366"/>
      <c r="AL18" s="366"/>
      <c r="AM18" s="366"/>
      <c r="AN18" s="366"/>
      <c r="AO18" s="366"/>
      <c r="AP18" s="366"/>
      <c r="AQ18" s="366"/>
      <c r="AR18" s="366"/>
      <c r="AS18" s="366"/>
      <c r="AT18" s="366"/>
      <c r="AU18" s="366"/>
      <c r="AV18" s="366"/>
      <c r="AW18" s="366"/>
      <c r="AX18" s="366"/>
      <c r="AY18" s="366"/>
      <c r="AZ18" s="366"/>
      <c r="BA18" s="366"/>
      <c r="BB18" s="366"/>
    </row>
    <row r="19" spans="1:56" ht="15.75" customHeight="1" x14ac:dyDescent="0.35">
      <c r="A19" s="712" t="s">
        <v>176</v>
      </c>
      <c r="B19" s="712"/>
      <c r="C19" s="712"/>
      <c r="D19" s="712"/>
      <c r="E19" s="712"/>
      <c r="F19" s="712"/>
      <c r="G19" s="712"/>
      <c r="H19" s="712"/>
      <c r="I19" s="712"/>
      <c r="J19" s="712"/>
      <c r="K19" s="712"/>
      <c r="L19" s="712"/>
      <c r="M19" s="380"/>
      <c r="N19" s="366"/>
      <c r="O19" s="366"/>
      <c r="AB19" s="366"/>
      <c r="AC19" s="366"/>
      <c r="AD19" s="366"/>
      <c r="AE19" s="366"/>
      <c r="AF19" s="366"/>
      <c r="AG19" s="366"/>
      <c r="AH19" s="366"/>
      <c r="AI19" s="366"/>
      <c r="AJ19" s="366"/>
      <c r="AK19" s="366"/>
      <c r="AL19" s="366"/>
      <c r="AM19" s="366"/>
      <c r="AN19" s="366"/>
      <c r="AO19" s="366"/>
      <c r="AP19" s="366"/>
      <c r="AQ19" s="366"/>
      <c r="AR19" s="366"/>
      <c r="AS19" s="366"/>
      <c r="AT19" s="366"/>
      <c r="AU19" s="366"/>
      <c r="AV19" s="366"/>
      <c r="AW19" s="366"/>
      <c r="AX19" s="366"/>
      <c r="AY19" s="366"/>
      <c r="AZ19" s="366"/>
      <c r="BA19" s="366"/>
      <c r="BB19" s="366"/>
    </row>
    <row r="20" spans="1:56" ht="17.25" customHeight="1" x14ac:dyDescent="0.35">
      <c r="A20" s="704" t="s">
        <v>554</v>
      </c>
      <c r="B20" s="704"/>
      <c r="C20" s="704"/>
      <c r="D20" s="704"/>
      <c r="E20" s="704"/>
      <c r="F20" s="704"/>
      <c r="G20" s="704"/>
      <c r="H20" s="717"/>
      <c r="I20" s="717"/>
      <c r="J20" s="717"/>
      <c r="K20" s="717"/>
      <c r="L20" s="717"/>
      <c r="M20" s="380"/>
      <c r="N20" s="366"/>
      <c r="O20" s="366"/>
      <c r="AB20" s="366"/>
      <c r="AC20" s="366"/>
      <c r="AD20" s="366"/>
      <c r="AE20" s="366"/>
      <c r="AF20" s="366"/>
      <c r="AG20" s="366"/>
      <c r="AH20" s="366"/>
      <c r="AI20" s="366"/>
      <c r="AJ20" s="366"/>
      <c r="AK20" s="366"/>
      <c r="AL20" s="366"/>
      <c r="AM20" s="366"/>
      <c r="AN20" s="366"/>
      <c r="AO20" s="366"/>
      <c r="AP20" s="366"/>
      <c r="AQ20" s="366"/>
      <c r="AR20" s="366"/>
      <c r="AS20" s="366"/>
      <c r="AT20" s="366"/>
      <c r="AU20" s="366"/>
      <c r="AV20" s="366"/>
      <c r="AW20" s="366"/>
      <c r="AX20" s="366"/>
      <c r="AY20" s="366"/>
      <c r="AZ20" s="366"/>
      <c r="BA20" s="366"/>
      <c r="BB20" s="366"/>
    </row>
    <row r="21" spans="1:56" ht="40.5" customHeight="1" x14ac:dyDescent="0.35">
      <c r="A21" s="718" t="s">
        <v>555</v>
      </c>
      <c r="B21" s="719"/>
      <c r="C21" s="719"/>
      <c r="D21" s="719"/>
      <c r="E21" s="719"/>
      <c r="F21" s="719"/>
      <c r="G21" s="719"/>
      <c r="H21" s="720"/>
      <c r="I21" s="720"/>
      <c r="J21" s="720"/>
      <c r="K21" s="720"/>
      <c r="L21" s="720"/>
      <c r="M21" s="385"/>
      <c r="N21" s="366"/>
      <c r="O21" s="366"/>
      <c r="AB21" s="366"/>
      <c r="AC21" s="366"/>
      <c r="AD21" s="366"/>
      <c r="AE21" s="366"/>
      <c r="AF21" s="366"/>
      <c r="AG21" s="366"/>
      <c r="AH21" s="366"/>
      <c r="AI21" s="366"/>
      <c r="AJ21" s="366"/>
      <c r="AK21" s="366"/>
      <c r="AL21" s="366"/>
      <c r="AM21" s="366"/>
      <c r="AN21" s="366"/>
      <c r="AO21" s="366"/>
      <c r="AP21" s="366"/>
      <c r="AQ21" s="366"/>
      <c r="AR21" s="366"/>
      <c r="AS21" s="366"/>
      <c r="AT21" s="366"/>
      <c r="AU21" s="366"/>
      <c r="AV21" s="366"/>
      <c r="AW21" s="366"/>
      <c r="AX21" s="366"/>
      <c r="AY21" s="366"/>
      <c r="AZ21" s="366"/>
      <c r="BA21" s="366"/>
      <c r="BB21" s="366"/>
    </row>
    <row r="22" spans="1:56" ht="23.25" customHeight="1" x14ac:dyDescent="0.35">
      <c r="A22" s="666" t="s">
        <v>177</v>
      </c>
      <c r="B22" s="666"/>
      <c r="C22" s="666"/>
      <c r="D22" s="666"/>
      <c r="E22" s="666"/>
      <c r="F22" s="666"/>
      <c r="G22" s="666"/>
      <c r="H22" s="666"/>
      <c r="I22" s="666"/>
      <c r="J22" s="666"/>
      <c r="K22" s="666"/>
      <c r="L22" s="666"/>
      <c r="M22" s="385"/>
      <c r="N22" s="366" t="s">
        <v>9</v>
      </c>
      <c r="O22" s="366"/>
      <c r="AB22" s="366"/>
      <c r="AC22" s="366"/>
      <c r="AD22" s="366"/>
      <c r="AE22" s="366"/>
      <c r="AF22" s="366"/>
      <c r="AG22" s="366"/>
      <c r="AH22" s="366"/>
      <c r="AI22" s="366"/>
      <c r="AJ22" s="366"/>
      <c r="AK22" s="366"/>
      <c r="AL22" s="366"/>
      <c r="AM22" s="366"/>
      <c r="AN22" s="366"/>
      <c r="AO22" s="366"/>
      <c r="AP22" s="366"/>
      <c r="AQ22" s="366"/>
      <c r="AR22" s="366"/>
      <c r="AS22" s="366"/>
      <c r="AT22" s="366"/>
      <c r="AU22" s="366"/>
      <c r="AV22" s="366"/>
      <c r="AW22" s="366"/>
      <c r="AX22" s="366"/>
      <c r="AY22" s="366"/>
      <c r="AZ22" s="366"/>
      <c r="BA22" s="366"/>
      <c r="BB22" s="366"/>
    </row>
    <row r="23" spans="1:56" ht="35.25" customHeight="1" x14ac:dyDescent="0.35">
      <c r="A23" s="719" t="s">
        <v>556</v>
      </c>
      <c r="B23" s="719"/>
      <c r="C23" s="719"/>
      <c r="D23" s="719"/>
      <c r="E23" s="719"/>
      <c r="F23" s="719"/>
      <c r="G23" s="719"/>
      <c r="H23" s="719"/>
      <c r="I23" s="719"/>
      <c r="J23" s="719"/>
      <c r="K23" s="719"/>
      <c r="L23" s="719"/>
      <c r="M23" s="385"/>
      <c r="N23" s="666"/>
      <c r="O23" s="666"/>
      <c r="P23" s="666"/>
      <c r="Q23" s="666"/>
      <c r="R23" s="666"/>
      <c r="S23" s="666"/>
      <c r="T23" s="666"/>
      <c r="U23" s="666"/>
      <c r="V23" s="666"/>
      <c r="W23" s="666"/>
      <c r="X23" s="666"/>
      <c r="Y23" s="666"/>
      <c r="AB23" s="366"/>
      <c r="AC23" s="366"/>
      <c r="AD23" s="366"/>
      <c r="AE23" s="366"/>
      <c r="AF23" s="366"/>
      <c r="AG23" s="366"/>
      <c r="AH23" s="366"/>
      <c r="AI23" s="366"/>
      <c r="AJ23" s="366"/>
      <c r="AK23" s="366"/>
      <c r="AL23" s="366"/>
      <c r="AM23" s="366"/>
      <c r="AN23" s="366"/>
      <c r="AO23" s="366"/>
      <c r="AP23" s="366"/>
      <c r="AQ23" s="366"/>
      <c r="AR23" s="366"/>
      <c r="AS23" s="366"/>
      <c r="AT23" s="366"/>
      <c r="AU23" s="366"/>
      <c r="AV23" s="366"/>
      <c r="AW23" s="366"/>
      <c r="AX23" s="366"/>
      <c r="AY23" s="366"/>
      <c r="AZ23" s="366"/>
      <c r="BA23" s="366"/>
      <c r="BB23" s="366"/>
    </row>
    <row r="24" spans="1:56" ht="64.5" customHeight="1" x14ac:dyDescent="0.35">
      <c r="A24" s="709" t="s">
        <v>178</v>
      </c>
      <c r="B24" s="709"/>
      <c r="C24" s="709"/>
      <c r="D24" s="709"/>
      <c r="E24" s="709"/>
      <c r="F24" s="709"/>
      <c r="G24" s="709"/>
      <c r="H24" s="710"/>
      <c r="I24" s="710"/>
      <c r="J24" s="710"/>
      <c r="K24" s="710"/>
      <c r="L24" s="710"/>
      <c r="M24" s="385"/>
      <c r="N24" s="386"/>
      <c r="O24" s="386"/>
      <c r="P24" s="386"/>
      <c r="Q24" s="386"/>
      <c r="R24" s="386"/>
      <c r="S24" s="386"/>
      <c r="T24" s="386"/>
      <c r="U24" s="386"/>
      <c r="V24" s="386"/>
      <c r="W24" s="386"/>
      <c r="X24" s="386"/>
      <c r="Y24" s="386"/>
      <c r="AB24" s="366"/>
      <c r="AC24" s="366"/>
      <c r="AD24" s="366"/>
      <c r="AE24" s="366"/>
      <c r="AF24" s="366"/>
      <c r="AG24" s="366"/>
      <c r="AH24" s="366"/>
      <c r="AI24" s="366"/>
      <c r="AJ24" s="366"/>
      <c r="AK24" s="366"/>
      <c r="AL24" s="366"/>
      <c r="AM24" s="366"/>
      <c r="AN24" s="366"/>
      <c r="AO24" s="366"/>
      <c r="AP24" s="366"/>
      <c r="AQ24" s="366"/>
      <c r="AR24" s="366"/>
      <c r="AS24" s="366"/>
      <c r="AT24" s="366"/>
      <c r="AU24" s="366"/>
      <c r="AV24" s="366"/>
      <c r="AW24" s="366"/>
      <c r="AX24" s="366"/>
      <c r="AY24" s="366"/>
      <c r="AZ24" s="366"/>
      <c r="BA24" s="366"/>
      <c r="BB24" s="366"/>
      <c r="BC24" s="366"/>
      <c r="BD24" s="366"/>
    </row>
    <row r="25" spans="1:56" s="388" customFormat="1" x14ac:dyDescent="0.35">
      <c r="A25" s="711" t="s">
        <v>179</v>
      </c>
      <c r="B25" s="711"/>
      <c r="C25" s="711"/>
      <c r="D25" s="711"/>
      <c r="E25" s="711"/>
      <c r="F25" s="711"/>
      <c r="G25" s="711"/>
      <c r="H25" s="711"/>
      <c r="I25" s="711"/>
      <c r="J25" s="711"/>
      <c r="K25" s="711"/>
      <c r="L25" s="711"/>
      <c r="M25" s="387"/>
      <c r="N25" s="387"/>
      <c r="O25" s="387"/>
      <c r="P25" s="387"/>
      <c r="Q25" s="387"/>
      <c r="R25" s="387"/>
      <c r="S25" s="387"/>
      <c r="T25" s="387"/>
      <c r="U25" s="387"/>
      <c r="V25" s="387"/>
      <c r="W25" s="387"/>
      <c r="X25" s="387"/>
      <c r="Y25" s="387"/>
      <c r="Z25" s="387"/>
      <c r="AA25" s="387"/>
      <c r="AB25" s="387"/>
      <c r="AC25" s="387"/>
      <c r="AD25" s="387"/>
      <c r="AE25" s="387"/>
      <c r="AF25" s="387"/>
      <c r="AG25" s="387"/>
      <c r="AH25" s="387"/>
      <c r="AI25" s="387"/>
      <c r="AJ25" s="387"/>
      <c r="AK25" s="387"/>
      <c r="AL25" s="387"/>
      <c r="AM25" s="387"/>
      <c r="AN25" s="387"/>
      <c r="AO25" s="387"/>
      <c r="AP25" s="387"/>
      <c r="AQ25" s="387"/>
      <c r="AR25" s="387"/>
      <c r="AS25" s="387"/>
      <c r="AT25" s="387"/>
      <c r="AU25" s="387"/>
      <c r="AV25" s="387"/>
      <c r="AW25" s="387"/>
      <c r="AX25" s="387"/>
      <c r="AY25" s="387"/>
      <c r="AZ25" s="387"/>
      <c r="BA25" s="387"/>
      <c r="BB25" s="387"/>
      <c r="BC25" s="387"/>
      <c r="BD25" s="387"/>
    </row>
    <row r="26" spans="1:56" s="388" customFormat="1" ht="26.1" customHeight="1" x14ac:dyDescent="0.35">
      <c r="A26" s="711" t="s">
        <v>180</v>
      </c>
      <c r="B26" s="711"/>
      <c r="C26" s="711"/>
      <c r="D26" s="711"/>
      <c r="E26" s="711"/>
      <c r="F26" s="711"/>
      <c r="G26" s="711"/>
      <c r="H26" s="711"/>
      <c r="I26" s="711"/>
      <c r="J26" s="711"/>
      <c r="K26" s="711"/>
      <c r="L26" s="711"/>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c r="AN26" s="387"/>
      <c r="AO26" s="387"/>
      <c r="AP26" s="387"/>
      <c r="AQ26" s="387"/>
      <c r="AR26" s="387"/>
      <c r="AS26" s="387"/>
      <c r="AT26" s="387"/>
      <c r="AU26" s="387"/>
      <c r="AV26" s="387"/>
      <c r="AW26" s="387"/>
      <c r="AX26" s="387"/>
      <c r="AY26" s="387"/>
      <c r="AZ26" s="387"/>
      <c r="BA26" s="387"/>
      <c r="BB26" s="387"/>
      <c r="BC26" s="387"/>
      <c r="BD26" s="387"/>
    </row>
    <row r="27" spans="1:56" x14ac:dyDescent="0.35">
      <c r="A27" s="712" t="s">
        <v>181</v>
      </c>
      <c r="B27" s="712"/>
      <c r="C27" s="712"/>
      <c r="D27" s="712"/>
      <c r="E27" s="712"/>
      <c r="F27" s="712"/>
      <c r="G27" s="712"/>
      <c r="H27" s="713"/>
      <c r="I27" s="713"/>
      <c r="J27" s="713"/>
      <c r="K27" s="713"/>
      <c r="L27" s="713"/>
      <c r="M27" s="380"/>
      <c r="N27" s="366"/>
      <c r="O27" s="366"/>
      <c r="AB27" s="366"/>
      <c r="AC27" s="366"/>
      <c r="AD27" s="366"/>
      <c r="AE27" s="366"/>
      <c r="AF27" s="366"/>
      <c r="AG27" s="366"/>
      <c r="AH27" s="366"/>
      <c r="AI27" s="366"/>
      <c r="AJ27" s="366"/>
      <c r="AK27" s="366"/>
      <c r="AL27" s="366"/>
      <c r="AM27" s="366"/>
      <c r="AN27" s="366"/>
      <c r="AO27" s="366"/>
      <c r="AP27" s="366"/>
      <c r="AQ27" s="366"/>
      <c r="AR27" s="366"/>
      <c r="AS27" s="366"/>
      <c r="AT27" s="366"/>
      <c r="AU27" s="366"/>
      <c r="AV27" s="366"/>
      <c r="AW27" s="366"/>
      <c r="AX27" s="366"/>
      <c r="AY27" s="366"/>
      <c r="AZ27" s="366"/>
      <c r="BA27" s="366"/>
      <c r="BB27" s="366"/>
      <c r="BC27" s="366"/>
      <c r="BD27" s="366"/>
    </row>
    <row r="28" spans="1:56" x14ac:dyDescent="0.35">
      <c r="A28" s="666" t="s">
        <v>182</v>
      </c>
      <c r="B28" s="666"/>
      <c r="C28" s="666"/>
      <c r="D28" s="666"/>
      <c r="E28" s="666"/>
      <c r="F28" s="666"/>
      <c r="G28" s="666"/>
      <c r="H28" s="708"/>
      <c r="I28" s="708"/>
      <c r="J28" s="708"/>
      <c r="K28" s="708"/>
      <c r="L28" s="708"/>
      <c r="M28" s="380"/>
      <c r="N28" s="366"/>
      <c r="O28" s="366"/>
      <c r="AB28" s="366"/>
      <c r="AC28" s="366"/>
      <c r="AD28" s="366"/>
      <c r="AE28" s="366"/>
      <c r="AF28" s="366"/>
      <c r="AG28" s="366"/>
      <c r="AH28" s="366"/>
      <c r="AI28" s="366"/>
      <c r="AJ28" s="366"/>
      <c r="AK28" s="366"/>
      <c r="AL28" s="366"/>
      <c r="AM28" s="366"/>
      <c r="AN28" s="366"/>
      <c r="AO28" s="366"/>
      <c r="AP28" s="366"/>
      <c r="AQ28" s="366"/>
      <c r="AR28" s="366"/>
      <c r="AS28" s="366"/>
      <c r="AT28" s="366"/>
      <c r="AU28" s="366"/>
      <c r="AV28" s="366"/>
      <c r="AW28" s="366"/>
      <c r="AX28" s="366"/>
      <c r="AY28" s="366"/>
      <c r="AZ28" s="366"/>
      <c r="BA28" s="366"/>
      <c r="BB28" s="366"/>
      <c r="BC28" s="366"/>
      <c r="BD28" s="366"/>
    </row>
    <row r="29" spans="1:56" s="366" customFormat="1" ht="36.75" customHeight="1" x14ac:dyDescent="0.35">
      <c r="A29" s="666" t="s">
        <v>557</v>
      </c>
      <c r="B29" s="666"/>
      <c r="C29" s="666"/>
      <c r="D29" s="666"/>
      <c r="E29" s="666"/>
      <c r="F29" s="666"/>
      <c r="G29" s="666"/>
      <c r="H29" s="708"/>
      <c r="I29" s="708"/>
      <c r="J29" s="708"/>
      <c r="K29" s="708"/>
      <c r="L29" s="708"/>
      <c r="M29" s="380"/>
    </row>
    <row r="30" spans="1:56" s="366" customFormat="1" ht="18" customHeight="1" x14ac:dyDescent="0.35">
      <c r="A30" s="666" t="s">
        <v>558</v>
      </c>
      <c r="B30" s="666"/>
      <c r="C30" s="666"/>
      <c r="D30" s="666"/>
      <c r="E30" s="666"/>
      <c r="F30" s="666"/>
      <c r="G30" s="666"/>
      <c r="H30" s="708"/>
      <c r="I30" s="708"/>
      <c r="J30" s="708"/>
      <c r="K30" s="708"/>
      <c r="L30" s="708"/>
      <c r="M30" s="380"/>
      <c r="O30" s="389"/>
    </row>
    <row r="31" spans="1:56" s="366" customFormat="1" ht="40.35" customHeight="1" x14ac:dyDescent="0.35">
      <c r="A31" s="666" t="s">
        <v>183</v>
      </c>
      <c r="B31" s="666"/>
      <c r="C31" s="666"/>
      <c r="D31" s="666"/>
      <c r="E31" s="666"/>
      <c r="F31" s="666"/>
      <c r="G31" s="666"/>
      <c r="H31" s="708"/>
      <c r="I31" s="708"/>
      <c r="J31" s="708"/>
      <c r="K31" s="708"/>
      <c r="L31" s="708"/>
      <c r="M31" s="380"/>
      <c r="N31" s="390"/>
    </row>
    <row r="32" spans="1:56" s="366" customFormat="1" ht="21" customHeight="1" x14ac:dyDescent="0.35">
      <c r="A32" s="386"/>
      <c r="B32" s="386"/>
      <c r="C32" s="386"/>
      <c r="D32" s="391"/>
      <c r="E32" s="391"/>
      <c r="F32" s="391"/>
      <c r="G32" s="391"/>
      <c r="H32" s="391"/>
      <c r="I32" s="391"/>
      <c r="J32" s="391"/>
      <c r="K32" s="391"/>
      <c r="L32" s="391"/>
      <c r="M32" s="391"/>
      <c r="N32" s="391"/>
      <c r="O32" s="391"/>
      <c r="P32" s="391"/>
      <c r="Q32" s="391"/>
      <c r="R32" s="391"/>
      <c r="S32" s="391"/>
      <c r="T32" s="391"/>
      <c r="U32" s="391"/>
      <c r="V32" s="391"/>
      <c r="W32" s="391"/>
    </row>
    <row r="33" spans="1:36" s="392" customFormat="1" x14ac:dyDescent="0.35">
      <c r="D33" s="705" t="s">
        <v>184</v>
      </c>
      <c r="E33" s="705"/>
      <c r="F33" s="705"/>
      <c r="G33" s="705"/>
      <c r="H33" s="705" t="s">
        <v>185</v>
      </c>
      <c r="I33" s="705"/>
      <c r="J33" s="705"/>
      <c r="K33" s="705"/>
      <c r="L33" s="705" t="s">
        <v>186</v>
      </c>
      <c r="M33" s="705"/>
      <c r="N33" s="705"/>
      <c r="O33" s="705"/>
      <c r="P33" s="705" t="s">
        <v>187</v>
      </c>
      <c r="Q33" s="705"/>
      <c r="R33" s="705"/>
      <c r="S33" s="705"/>
      <c r="T33" s="705" t="s">
        <v>188</v>
      </c>
      <c r="U33" s="705"/>
      <c r="V33" s="705"/>
      <c r="W33" s="705"/>
    </row>
    <row r="34" spans="1:36" s="392" customFormat="1" ht="20.399999999999999" x14ac:dyDescent="0.45">
      <c r="A34" s="393" t="s">
        <v>189</v>
      </c>
      <c r="B34" s="393" t="s">
        <v>190</v>
      </c>
      <c r="C34" s="393" t="s">
        <v>191</v>
      </c>
      <c r="D34" s="394" t="s">
        <v>559</v>
      </c>
      <c r="E34" s="394" t="s">
        <v>560</v>
      </c>
      <c r="F34" s="394" t="s">
        <v>561</v>
      </c>
      <c r="G34" s="394" t="s">
        <v>562</v>
      </c>
      <c r="H34" s="394" t="s">
        <v>559</v>
      </c>
      <c r="I34" s="394" t="s">
        <v>560</v>
      </c>
      <c r="J34" s="394" t="s">
        <v>561</v>
      </c>
      <c r="K34" s="394" t="s">
        <v>562</v>
      </c>
      <c r="L34" s="394" t="s">
        <v>559</v>
      </c>
      <c r="M34" s="394" t="s">
        <v>560</v>
      </c>
      <c r="N34" s="394" t="s">
        <v>561</v>
      </c>
      <c r="O34" s="394" t="s">
        <v>562</v>
      </c>
      <c r="P34" s="394" t="s">
        <v>559</v>
      </c>
      <c r="Q34" s="394" t="s">
        <v>560</v>
      </c>
      <c r="R34" s="394" t="s">
        <v>561</v>
      </c>
      <c r="S34" s="394" t="s">
        <v>562</v>
      </c>
      <c r="T34" s="394" t="s">
        <v>559</v>
      </c>
      <c r="U34" s="394" t="s">
        <v>560</v>
      </c>
      <c r="V34" s="394" t="s">
        <v>561</v>
      </c>
      <c r="W34" s="394" t="s">
        <v>562</v>
      </c>
    </row>
    <row r="35" spans="1:36" s="392" customFormat="1" x14ac:dyDescent="0.35">
      <c r="A35" s="707" t="s">
        <v>192</v>
      </c>
      <c r="B35" s="703" t="s">
        <v>193</v>
      </c>
      <c r="C35" s="394" t="s">
        <v>194</v>
      </c>
      <c r="D35" s="395">
        <v>0.10774644888053692</v>
      </c>
      <c r="E35" s="395">
        <v>0.10607</v>
      </c>
      <c r="F35" s="395">
        <v>4.6368000000000002E-6</v>
      </c>
      <c r="G35" s="395">
        <v>1.6718120805369126E-3</v>
      </c>
      <c r="H35" s="395">
        <v>0.13029853422818793</v>
      </c>
      <c r="I35" s="395">
        <v>0.12962000000000001</v>
      </c>
      <c r="J35" s="395">
        <v>3.5840000000000004E-4</v>
      </c>
      <c r="K35" s="395">
        <v>3.2013422818791948E-4</v>
      </c>
      <c r="L35" s="395">
        <v>0.13010511946308725</v>
      </c>
      <c r="M35" s="395">
        <v>0.12942000000000001</v>
      </c>
      <c r="N35" s="395">
        <v>3.4720000000000004E-4</v>
      </c>
      <c r="O35" s="395">
        <v>3.3791946308724835E-4</v>
      </c>
      <c r="P35" s="395"/>
      <c r="Q35" s="395"/>
      <c r="R35" s="395"/>
      <c r="S35" s="395"/>
      <c r="T35" s="395">
        <v>0</v>
      </c>
      <c r="U35" s="395">
        <v>0</v>
      </c>
      <c r="V35" s="395">
        <v>0</v>
      </c>
      <c r="W35" s="395">
        <v>0</v>
      </c>
      <c r="X35" s="396"/>
      <c r="Y35" s="396"/>
      <c r="Z35" s="396"/>
      <c r="AA35" s="396"/>
      <c r="AB35" s="396"/>
      <c r="AC35" s="396"/>
      <c r="AD35" s="396"/>
      <c r="AE35" s="396"/>
      <c r="AF35" s="396"/>
      <c r="AG35" s="396"/>
      <c r="AH35" s="396"/>
      <c r="AI35" s="396"/>
      <c r="AJ35" s="391"/>
    </row>
    <row r="36" spans="1:36" s="392" customFormat="1" x14ac:dyDescent="0.35">
      <c r="A36" s="707"/>
      <c r="B36" s="703"/>
      <c r="C36" s="394" t="s">
        <v>195</v>
      </c>
      <c r="D36" s="395">
        <v>0.17341566308724832</v>
      </c>
      <c r="E36" s="395">
        <v>0.17071</v>
      </c>
      <c r="F36" s="395">
        <v>1.1200000000000001E-5</v>
      </c>
      <c r="G36" s="395">
        <v>2.6944630872483221E-3</v>
      </c>
      <c r="H36" s="395">
        <v>0.20968697181208054</v>
      </c>
      <c r="I36" s="395">
        <v>0.20860000000000001</v>
      </c>
      <c r="J36" s="395">
        <v>5.7120000000000011E-4</v>
      </c>
      <c r="K36" s="395">
        <v>5.1577181208053687E-4</v>
      </c>
      <c r="L36" s="395">
        <v>0.20938244966442954</v>
      </c>
      <c r="M36" s="395">
        <v>0.20827999999999999</v>
      </c>
      <c r="N36" s="395">
        <v>5.6000000000000006E-4</v>
      </c>
      <c r="O36" s="395">
        <v>5.4244966442953014E-4</v>
      </c>
      <c r="P36" s="395"/>
      <c r="Q36" s="395"/>
      <c r="R36" s="395"/>
      <c r="S36" s="395"/>
      <c r="T36" s="395">
        <v>0</v>
      </c>
      <c r="U36" s="395">
        <v>0</v>
      </c>
      <c r="V36" s="395">
        <v>0</v>
      </c>
      <c r="W36" s="395">
        <v>0</v>
      </c>
      <c r="X36" s="396"/>
      <c r="Y36" s="396"/>
      <c r="Z36" s="396"/>
      <c r="AA36" s="396"/>
      <c r="AB36" s="396"/>
      <c r="AC36" s="396"/>
      <c r="AD36" s="396"/>
      <c r="AE36" s="396"/>
      <c r="AF36" s="396"/>
      <c r="AG36" s="396"/>
      <c r="AH36" s="396"/>
      <c r="AI36" s="396"/>
      <c r="AJ36" s="391"/>
    </row>
    <row r="37" spans="1:36" s="392" customFormat="1" x14ac:dyDescent="0.35">
      <c r="A37" s="707"/>
      <c r="B37" s="703" t="s">
        <v>196</v>
      </c>
      <c r="C37" s="394" t="s">
        <v>194</v>
      </c>
      <c r="D37" s="395">
        <v>0.13214644888053692</v>
      </c>
      <c r="E37" s="395">
        <v>0.13047</v>
      </c>
      <c r="F37" s="395">
        <v>4.6368000000000002E-6</v>
      </c>
      <c r="G37" s="395">
        <v>1.6718120805369126E-3</v>
      </c>
      <c r="H37" s="395">
        <v>0.14168853422818792</v>
      </c>
      <c r="I37" s="395">
        <v>0.14101</v>
      </c>
      <c r="J37" s="395">
        <v>3.5840000000000004E-4</v>
      </c>
      <c r="K37" s="395">
        <v>3.2013422818791948E-4</v>
      </c>
      <c r="L37" s="395">
        <v>0.14048706442953021</v>
      </c>
      <c r="M37" s="395">
        <v>0.13966000000000001</v>
      </c>
      <c r="N37" s="395">
        <v>3.0240000000000003E-4</v>
      </c>
      <c r="O37" s="395">
        <v>5.2466442953020133E-4</v>
      </c>
      <c r="P37" s="395">
        <v>2.1630648322147648E-2</v>
      </c>
      <c r="Q37" s="395">
        <v>2.1489999999999999E-2</v>
      </c>
      <c r="R37" s="395">
        <v>7.8399999999999995E-5</v>
      </c>
      <c r="S37" s="395">
        <v>6.2248322147651007E-5</v>
      </c>
      <c r="T37" s="395">
        <v>0</v>
      </c>
      <c r="U37" s="395">
        <v>0</v>
      </c>
      <c r="V37" s="395">
        <v>0</v>
      </c>
      <c r="W37" s="395">
        <v>0</v>
      </c>
      <c r="X37" s="396"/>
      <c r="Y37" s="396"/>
      <c r="Z37" s="396"/>
      <c r="AA37" s="396"/>
      <c r="AB37" s="396"/>
      <c r="AC37" s="396"/>
      <c r="AD37" s="396"/>
      <c r="AE37" s="396"/>
      <c r="AF37" s="396"/>
      <c r="AG37" s="396"/>
      <c r="AH37" s="396"/>
      <c r="AI37" s="396"/>
      <c r="AJ37" s="391"/>
    </row>
    <row r="38" spans="1:36" s="392" customFormat="1" x14ac:dyDescent="0.35">
      <c r="A38" s="707"/>
      <c r="B38" s="703"/>
      <c r="C38" s="394" t="s">
        <v>195</v>
      </c>
      <c r="D38" s="395">
        <v>0.21267566308724831</v>
      </c>
      <c r="E38" s="395">
        <v>0.20996999999999999</v>
      </c>
      <c r="F38" s="395">
        <v>1.1200000000000001E-5</v>
      </c>
      <c r="G38" s="395">
        <v>2.6944630872483221E-3</v>
      </c>
      <c r="H38" s="395">
        <v>0.22802697181208054</v>
      </c>
      <c r="I38" s="395">
        <v>0.22694</v>
      </c>
      <c r="J38" s="395">
        <v>5.7120000000000011E-4</v>
      </c>
      <c r="K38" s="395">
        <v>5.1577181208053687E-4</v>
      </c>
      <c r="L38" s="395">
        <v>0.22609639865771811</v>
      </c>
      <c r="M38" s="395">
        <v>0.22477</v>
      </c>
      <c r="N38" s="395">
        <v>4.8160000000000005E-4</v>
      </c>
      <c r="O38" s="395">
        <v>8.4479865771812076E-4</v>
      </c>
      <c r="P38" s="395">
        <v>3.4812218791946306E-2</v>
      </c>
      <c r="Q38" s="395">
        <v>3.458E-2</v>
      </c>
      <c r="R38" s="395">
        <v>1.3440000000000001E-4</v>
      </c>
      <c r="S38" s="395">
        <v>9.7818791946308734E-5</v>
      </c>
      <c r="T38" s="395">
        <v>0</v>
      </c>
      <c r="U38" s="395">
        <v>0</v>
      </c>
      <c r="V38" s="395">
        <v>0</v>
      </c>
      <c r="W38" s="395">
        <v>0</v>
      </c>
      <c r="X38" s="396"/>
      <c r="Y38" s="396"/>
      <c r="Z38" s="396"/>
      <c r="AA38" s="396"/>
      <c r="AB38" s="396"/>
      <c r="AC38" s="396"/>
      <c r="AD38" s="396"/>
      <c r="AE38" s="396"/>
      <c r="AF38" s="396"/>
      <c r="AG38" s="396"/>
      <c r="AH38" s="396"/>
      <c r="AI38" s="396"/>
      <c r="AJ38" s="391"/>
    </row>
    <row r="39" spans="1:36" s="392" customFormat="1" x14ac:dyDescent="0.35">
      <c r="A39" s="707"/>
      <c r="B39" s="703" t="s">
        <v>197</v>
      </c>
      <c r="C39" s="394" t="s">
        <v>194</v>
      </c>
      <c r="D39" s="395">
        <v>0.14345644888053691</v>
      </c>
      <c r="E39" s="395">
        <v>0.14177999999999999</v>
      </c>
      <c r="F39" s="395">
        <v>4.6368000000000002E-6</v>
      </c>
      <c r="G39" s="395">
        <v>1.6718120805369126E-3</v>
      </c>
      <c r="H39" s="395">
        <v>0.16472853422818792</v>
      </c>
      <c r="I39" s="395">
        <v>0.16405</v>
      </c>
      <c r="J39" s="395">
        <v>3.5840000000000004E-4</v>
      </c>
      <c r="K39" s="395">
        <v>3.2013422818791948E-4</v>
      </c>
      <c r="L39" s="395">
        <v>0.15520517315436241</v>
      </c>
      <c r="M39" s="395">
        <v>0.15403</v>
      </c>
      <c r="N39" s="395">
        <v>1.7920000000000002E-4</v>
      </c>
      <c r="O39" s="395">
        <v>9.9597315436241612E-4</v>
      </c>
      <c r="P39" s="395">
        <v>5.9754252348993293E-2</v>
      </c>
      <c r="Q39" s="395">
        <v>5.9330000000000001E-2</v>
      </c>
      <c r="R39" s="395">
        <v>2.4640000000000003E-4</v>
      </c>
      <c r="S39" s="395">
        <v>1.778523489932886E-4</v>
      </c>
      <c r="T39" s="395">
        <v>0</v>
      </c>
      <c r="U39" s="395">
        <v>0</v>
      </c>
      <c r="V39" s="395">
        <v>0</v>
      </c>
      <c r="W39" s="395">
        <v>0</v>
      </c>
      <c r="X39" s="396"/>
      <c r="Y39" s="396"/>
      <c r="Z39" s="396"/>
      <c r="AA39" s="396"/>
      <c r="AB39" s="396"/>
      <c r="AC39" s="396"/>
      <c r="AD39" s="396"/>
      <c r="AE39" s="396"/>
      <c r="AF39" s="396"/>
      <c r="AG39" s="396"/>
      <c r="AH39" s="396"/>
      <c r="AI39" s="396"/>
      <c r="AJ39" s="391"/>
    </row>
    <row r="40" spans="1:36" s="392" customFormat="1" x14ac:dyDescent="0.35">
      <c r="A40" s="707"/>
      <c r="B40" s="703"/>
      <c r="C40" s="394" t="s">
        <v>195</v>
      </c>
      <c r="D40" s="395">
        <v>0.23087566308724833</v>
      </c>
      <c r="E40" s="395">
        <v>0.22817000000000001</v>
      </c>
      <c r="F40" s="395">
        <v>1.1200000000000001E-5</v>
      </c>
      <c r="G40" s="395">
        <v>2.6944630872483221E-3</v>
      </c>
      <c r="H40" s="395">
        <v>0.26509697181208053</v>
      </c>
      <c r="I40" s="395">
        <v>0.26401000000000002</v>
      </c>
      <c r="J40" s="395">
        <v>5.7120000000000011E-4</v>
      </c>
      <c r="K40" s="395">
        <v>5.1577181208053687E-4</v>
      </c>
      <c r="L40" s="395">
        <v>0.24977187114093957</v>
      </c>
      <c r="M40" s="395">
        <v>0.24787999999999999</v>
      </c>
      <c r="N40" s="395">
        <v>2.9119999999999998E-4</v>
      </c>
      <c r="O40" s="395">
        <v>1.6006711409395974E-3</v>
      </c>
      <c r="P40" s="395">
        <v>9.6186656375838939E-2</v>
      </c>
      <c r="Q40" s="395">
        <v>9.5490000000000005E-2</v>
      </c>
      <c r="R40" s="395">
        <v>4.0320000000000004E-4</v>
      </c>
      <c r="S40" s="395">
        <v>2.9345637583892616E-4</v>
      </c>
      <c r="T40" s="395">
        <v>0</v>
      </c>
      <c r="U40" s="395">
        <v>0</v>
      </c>
      <c r="V40" s="395">
        <v>0</v>
      </c>
      <c r="W40" s="395">
        <v>0</v>
      </c>
      <c r="X40" s="396"/>
      <c r="Y40" s="396"/>
      <c r="Z40" s="396"/>
      <c r="AA40" s="396"/>
      <c r="AB40" s="396"/>
      <c r="AC40" s="396"/>
      <c r="AD40" s="396"/>
      <c r="AE40" s="396"/>
      <c r="AF40" s="396"/>
      <c r="AG40" s="396"/>
      <c r="AH40" s="396"/>
      <c r="AI40" s="396"/>
      <c r="AJ40" s="391"/>
    </row>
    <row r="41" spans="1:36" s="392" customFormat="1" x14ac:dyDescent="0.35">
      <c r="A41" s="707"/>
      <c r="B41" s="703" t="s">
        <v>198</v>
      </c>
      <c r="C41" s="394" t="s">
        <v>194</v>
      </c>
      <c r="D41" s="395">
        <v>0.16049644888053691</v>
      </c>
      <c r="E41" s="395">
        <v>0.15881999999999999</v>
      </c>
      <c r="F41" s="395">
        <v>4.6368000000000002E-6</v>
      </c>
      <c r="G41" s="395">
        <v>1.6718120805369126E-3</v>
      </c>
      <c r="H41" s="395">
        <v>0.19210853422818791</v>
      </c>
      <c r="I41" s="395">
        <v>0.19142999999999999</v>
      </c>
      <c r="J41" s="395">
        <v>3.5840000000000004E-4</v>
      </c>
      <c r="K41" s="395">
        <v>3.2013422818791948E-4</v>
      </c>
      <c r="L41" s="395">
        <v>0.16793564832214766</v>
      </c>
      <c r="M41" s="395">
        <v>0.16647000000000001</v>
      </c>
      <c r="N41" s="395">
        <v>7.8399999999999995E-5</v>
      </c>
      <c r="O41" s="395">
        <v>1.387248322147651E-3</v>
      </c>
      <c r="P41" s="395">
        <v>6.3102130201342282E-2</v>
      </c>
      <c r="Q41" s="395">
        <v>6.2640000000000001E-2</v>
      </c>
      <c r="R41" s="395">
        <v>2.5760000000000003E-4</v>
      </c>
      <c r="S41" s="395">
        <v>2.0453020134228187E-4</v>
      </c>
      <c r="T41" s="395">
        <v>0</v>
      </c>
      <c r="U41" s="395">
        <v>0</v>
      </c>
      <c r="V41" s="395">
        <v>0</v>
      </c>
      <c r="W41" s="395">
        <v>0</v>
      </c>
      <c r="X41" s="396"/>
      <c r="Y41" s="396"/>
      <c r="Z41" s="396"/>
      <c r="AA41" s="396"/>
      <c r="AB41" s="396"/>
      <c r="AC41" s="396"/>
      <c r="AD41" s="396"/>
      <c r="AE41" s="396"/>
      <c r="AF41" s="396"/>
      <c r="AG41" s="396"/>
      <c r="AH41" s="396"/>
      <c r="AI41" s="396"/>
      <c r="AJ41" s="391"/>
    </row>
    <row r="42" spans="1:36" s="392" customFormat="1" x14ac:dyDescent="0.35">
      <c r="A42" s="707"/>
      <c r="B42" s="703"/>
      <c r="C42" s="394" t="s">
        <v>195</v>
      </c>
      <c r="D42" s="395">
        <v>0.25829566308724827</v>
      </c>
      <c r="E42" s="395">
        <v>0.25558999999999998</v>
      </c>
      <c r="F42" s="395">
        <v>1.1200000000000001E-5</v>
      </c>
      <c r="G42" s="395">
        <v>2.6944630872483221E-3</v>
      </c>
      <c r="H42" s="395">
        <v>0.30916697181208053</v>
      </c>
      <c r="I42" s="395">
        <v>0.30808000000000002</v>
      </c>
      <c r="J42" s="395">
        <v>5.7120000000000011E-4</v>
      </c>
      <c r="K42" s="395">
        <v>5.1577181208053687E-4</v>
      </c>
      <c r="L42" s="395">
        <v>0.27025635436241607</v>
      </c>
      <c r="M42" s="395">
        <v>0.26790999999999998</v>
      </c>
      <c r="N42" s="395">
        <v>1.2320000000000001E-4</v>
      </c>
      <c r="O42" s="395">
        <v>2.2231543624161073E-3</v>
      </c>
      <c r="P42" s="395">
        <v>0.10157231946308726</v>
      </c>
      <c r="Q42" s="395">
        <v>0.10082000000000001</v>
      </c>
      <c r="R42" s="395">
        <v>4.1440000000000004E-4</v>
      </c>
      <c r="S42" s="395">
        <v>3.3791946308724835E-4</v>
      </c>
      <c r="T42" s="395">
        <v>0</v>
      </c>
      <c r="U42" s="395">
        <v>0</v>
      </c>
      <c r="V42" s="395">
        <v>0</v>
      </c>
      <c r="W42" s="395">
        <v>0</v>
      </c>
      <c r="X42" s="396"/>
      <c r="Y42" s="396"/>
      <c r="Z42" s="396"/>
      <c r="AA42" s="396"/>
      <c r="AB42" s="396"/>
      <c r="AC42" s="396"/>
      <c r="AD42" s="396"/>
      <c r="AE42" s="396"/>
      <c r="AF42" s="396"/>
      <c r="AG42" s="396"/>
      <c r="AH42" s="396"/>
      <c r="AI42" s="396"/>
      <c r="AJ42" s="391"/>
    </row>
    <row r="43" spans="1:36" s="392" customFormat="1" x14ac:dyDescent="0.35">
      <c r="A43" s="707"/>
      <c r="B43" s="703" t="s">
        <v>199</v>
      </c>
      <c r="C43" s="394" t="s">
        <v>194</v>
      </c>
      <c r="D43" s="395">
        <v>0.17309644888053691</v>
      </c>
      <c r="E43" s="395">
        <v>0.17141999999999999</v>
      </c>
      <c r="F43" s="395">
        <v>4.6368000000000002E-6</v>
      </c>
      <c r="G43" s="395">
        <v>1.6718120805369126E-3</v>
      </c>
      <c r="H43" s="395">
        <v>0.21231853422818792</v>
      </c>
      <c r="I43" s="395">
        <v>0.21163999999999999</v>
      </c>
      <c r="J43" s="395">
        <v>3.5840000000000004E-4</v>
      </c>
      <c r="K43" s="395">
        <v>3.2013422818791948E-4</v>
      </c>
      <c r="L43" s="395">
        <v>0.18264127785234899</v>
      </c>
      <c r="M43" s="395">
        <v>0.1812</v>
      </c>
      <c r="N43" s="395">
        <v>8.9600000000000009E-5</v>
      </c>
      <c r="O43" s="395">
        <v>1.3516778523489934E-3</v>
      </c>
      <c r="P43" s="395">
        <v>6.6496500671140935E-2</v>
      </c>
      <c r="Q43" s="395">
        <v>6.6009999999999999E-2</v>
      </c>
      <c r="R43" s="395">
        <v>2.4640000000000003E-4</v>
      </c>
      <c r="S43" s="395">
        <v>2.401006711409396E-4</v>
      </c>
      <c r="T43" s="395">
        <v>0</v>
      </c>
      <c r="U43" s="395">
        <v>0</v>
      </c>
      <c r="V43" s="395">
        <v>0</v>
      </c>
      <c r="W43" s="395">
        <v>0</v>
      </c>
      <c r="X43" s="396"/>
      <c r="Y43" s="396"/>
      <c r="Z43" s="396"/>
      <c r="AA43" s="396"/>
      <c r="AB43" s="396"/>
      <c r="AC43" s="396"/>
      <c r="AD43" s="396"/>
      <c r="AE43" s="396"/>
      <c r="AF43" s="396"/>
      <c r="AG43" s="396"/>
      <c r="AH43" s="396"/>
      <c r="AI43" s="396"/>
      <c r="AJ43" s="391"/>
    </row>
    <row r="44" spans="1:36" s="392" customFormat="1" x14ac:dyDescent="0.35">
      <c r="A44" s="707"/>
      <c r="B44" s="703"/>
      <c r="C44" s="394" t="s">
        <v>195</v>
      </c>
      <c r="D44" s="395">
        <v>0.2785856630872483</v>
      </c>
      <c r="E44" s="395">
        <v>0.27588000000000001</v>
      </c>
      <c r="F44" s="395">
        <v>1.1200000000000001E-5</v>
      </c>
      <c r="G44" s="395">
        <v>2.6944630872483221E-3</v>
      </c>
      <c r="H44" s="395">
        <v>0.34168697181208052</v>
      </c>
      <c r="I44" s="395">
        <v>0.34060000000000001</v>
      </c>
      <c r="J44" s="395">
        <v>5.7120000000000011E-4</v>
      </c>
      <c r="K44" s="395">
        <v>5.1577181208053687E-4</v>
      </c>
      <c r="L44" s="395">
        <v>0.29393429127516779</v>
      </c>
      <c r="M44" s="395">
        <v>0.29160999999999998</v>
      </c>
      <c r="N44" s="395">
        <v>1.4559999999999999E-4</v>
      </c>
      <c r="O44" s="395">
        <v>2.1786912751677852E-3</v>
      </c>
      <c r="P44" s="395">
        <v>0.10702558255033558</v>
      </c>
      <c r="Q44" s="395">
        <v>0.10624</v>
      </c>
      <c r="R44" s="395">
        <v>4.0320000000000004E-4</v>
      </c>
      <c r="S44" s="395">
        <v>3.8238255033557048E-4</v>
      </c>
      <c r="T44" s="395">
        <v>0</v>
      </c>
      <c r="U44" s="395">
        <v>0</v>
      </c>
      <c r="V44" s="395">
        <v>0</v>
      </c>
      <c r="W44" s="395">
        <v>0</v>
      </c>
      <c r="X44" s="396"/>
      <c r="Y44" s="396"/>
      <c r="Z44" s="396"/>
      <c r="AA44" s="396"/>
      <c r="AB44" s="396"/>
      <c r="AC44" s="396"/>
      <c r="AD44" s="396"/>
      <c r="AE44" s="396"/>
      <c r="AF44" s="396"/>
      <c r="AG44" s="396"/>
      <c r="AH44" s="396"/>
      <c r="AI44" s="396"/>
      <c r="AJ44" s="391"/>
    </row>
    <row r="45" spans="1:36" s="392" customFormat="1" x14ac:dyDescent="0.35">
      <c r="A45" s="707"/>
      <c r="B45" s="703" t="s">
        <v>200</v>
      </c>
      <c r="C45" s="394" t="s">
        <v>194</v>
      </c>
      <c r="D45" s="395">
        <v>0.21119644888053693</v>
      </c>
      <c r="E45" s="395">
        <v>0.20952000000000001</v>
      </c>
      <c r="F45" s="395">
        <v>4.6368000000000002E-6</v>
      </c>
      <c r="G45" s="395">
        <v>1.6718120805369126E-3</v>
      </c>
      <c r="H45" s="395">
        <v>0.31808853422818795</v>
      </c>
      <c r="I45" s="395">
        <v>0.31741000000000003</v>
      </c>
      <c r="J45" s="395">
        <v>3.5840000000000004E-4</v>
      </c>
      <c r="K45" s="395">
        <v>3.2013422818791948E-4</v>
      </c>
      <c r="L45" s="395">
        <v>0.25986954362416109</v>
      </c>
      <c r="M45" s="395">
        <v>0.25867000000000001</v>
      </c>
      <c r="N45" s="395">
        <v>1.6799999999999999E-4</v>
      </c>
      <c r="O45" s="395">
        <v>1.0315436241610737E-3</v>
      </c>
      <c r="P45" s="395">
        <v>9.02061932885906E-2</v>
      </c>
      <c r="Q45" s="395">
        <v>8.9609999999999995E-2</v>
      </c>
      <c r="R45" s="395">
        <v>3.4720000000000004E-4</v>
      </c>
      <c r="S45" s="395">
        <v>2.4899328859060403E-4</v>
      </c>
      <c r="T45" s="395">
        <v>0</v>
      </c>
      <c r="U45" s="395">
        <v>0</v>
      </c>
      <c r="V45" s="395">
        <v>0</v>
      </c>
      <c r="W45" s="395">
        <v>0</v>
      </c>
      <c r="X45" s="396"/>
      <c r="Y45" s="396"/>
      <c r="Z45" s="396"/>
      <c r="AA45" s="396"/>
      <c r="AB45" s="396"/>
      <c r="AC45" s="396"/>
      <c r="AD45" s="396"/>
      <c r="AE45" s="396"/>
      <c r="AF45" s="396"/>
      <c r="AG45" s="396"/>
      <c r="AH45" s="396"/>
      <c r="AI45" s="396"/>
      <c r="AJ45" s="391"/>
    </row>
    <row r="46" spans="1:36" s="392" customFormat="1" x14ac:dyDescent="0.35">
      <c r="A46" s="707"/>
      <c r="B46" s="703"/>
      <c r="C46" s="394" t="s">
        <v>195</v>
      </c>
      <c r="D46" s="395">
        <v>0.33989566308724828</v>
      </c>
      <c r="E46" s="395">
        <v>0.33718999999999999</v>
      </c>
      <c r="F46" s="395">
        <v>1.1200000000000001E-5</v>
      </c>
      <c r="G46" s="395">
        <v>2.6944630872483221E-3</v>
      </c>
      <c r="H46" s="395">
        <v>0.51189697181208049</v>
      </c>
      <c r="I46" s="395">
        <v>0.51080999999999999</v>
      </c>
      <c r="J46" s="395">
        <v>5.7120000000000011E-4</v>
      </c>
      <c r="K46" s="395">
        <v>5.1577181208053687E-4</v>
      </c>
      <c r="L46" s="395">
        <v>0.41822291946308726</v>
      </c>
      <c r="M46" s="395">
        <v>0.41627999999999998</v>
      </c>
      <c r="N46" s="395">
        <v>2.8000000000000003E-4</v>
      </c>
      <c r="O46" s="395">
        <v>1.6629194630872481E-3</v>
      </c>
      <c r="P46" s="395">
        <v>0.14516896778523489</v>
      </c>
      <c r="Q46" s="395">
        <v>0.14421999999999999</v>
      </c>
      <c r="R46" s="395">
        <v>5.488E-4</v>
      </c>
      <c r="S46" s="395">
        <v>4.0016778523489934E-4</v>
      </c>
      <c r="T46" s="395">
        <v>0</v>
      </c>
      <c r="U46" s="395">
        <v>0</v>
      </c>
      <c r="V46" s="395">
        <v>0</v>
      </c>
      <c r="W46" s="395">
        <v>0</v>
      </c>
      <c r="X46" s="396"/>
      <c r="Y46" s="396"/>
      <c r="Z46" s="396"/>
      <c r="AA46" s="396"/>
      <c r="AB46" s="396"/>
      <c r="AC46" s="396"/>
      <c r="AD46" s="396"/>
      <c r="AE46" s="396"/>
      <c r="AF46" s="396"/>
      <c r="AG46" s="396"/>
      <c r="AH46" s="396"/>
      <c r="AI46" s="396"/>
      <c r="AJ46" s="391"/>
    </row>
    <row r="47" spans="1:36" s="392" customFormat="1" x14ac:dyDescent="0.35">
      <c r="A47" s="707"/>
      <c r="B47" s="703" t="s">
        <v>201</v>
      </c>
      <c r="C47" s="394" t="s">
        <v>194</v>
      </c>
      <c r="D47" s="395">
        <v>0.16943644888053691</v>
      </c>
      <c r="E47" s="395">
        <v>0.16775999999999999</v>
      </c>
      <c r="F47" s="395">
        <v>4.6368000000000002E-6</v>
      </c>
      <c r="G47" s="395">
        <v>1.6718120805369126E-3</v>
      </c>
      <c r="H47" s="395">
        <v>0.23715853422818792</v>
      </c>
      <c r="I47" s="395">
        <v>0.23648</v>
      </c>
      <c r="J47" s="395">
        <v>3.5840000000000004E-4</v>
      </c>
      <c r="K47" s="395">
        <v>3.2013422818791948E-4</v>
      </c>
      <c r="L47" s="395">
        <v>0.22616595704697987</v>
      </c>
      <c r="M47" s="395">
        <v>0.22533</v>
      </c>
      <c r="N47" s="395">
        <v>3.0240000000000003E-4</v>
      </c>
      <c r="O47" s="395">
        <v>5.3355704697986568E-4</v>
      </c>
      <c r="P47" s="395">
        <v>8.1714530201342284E-2</v>
      </c>
      <c r="Q47" s="395">
        <v>8.1229999999999997E-2</v>
      </c>
      <c r="R47" s="395">
        <v>2.8000000000000003E-4</v>
      </c>
      <c r="S47" s="395">
        <v>2.0453020134228187E-4</v>
      </c>
      <c r="T47" s="395">
        <v>0</v>
      </c>
      <c r="U47" s="395">
        <v>0</v>
      </c>
      <c r="V47" s="395">
        <v>0</v>
      </c>
      <c r="W47" s="395">
        <v>0</v>
      </c>
      <c r="X47" s="396"/>
      <c r="Y47" s="396"/>
      <c r="Z47" s="396"/>
      <c r="AA47" s="396"/>
      <c r="AB47" s="396"/>
      <c r="AC47" s="396"/>
      <c r="AD47" s="396"/>
      <c r="AE47" s="396"/>
      <c r="AF47" s="396"/>
      <c r="AG47" s="396"/>
      <c r="AH47" s="396"/>
      <c r="AI47" s="396"/>
      <c r="AJ47" s="391"/>
    </row>
    <row r="48" spans="1:36" s="392" customFormat="1" x14ac:dyDescent="0.35">
      <c r="A48" s="707"/>
      <c r="B48" s="703"/>
      <c r="C48" s="394" t="s">
        <v>195</v>
      </c>
      <c r="D48" s="395">
        <v>0.27268566308724829</v>
      </c>
      <c r="E48" s="395">
        <v>0.26998</v>
      </c>
      <c r="F48" s="395">
        <v>1.1200000000000001E-5</v>
      </c>
      <c r="G48" s="395">
        <v>2.6944630872483221E-3</v>
      </c>
      <c r="H48" s="395">
        <v>0.38165697181208053</v>
      </c>
      <c r="I48" s="395">
        <v>0.38057000000000002</v>
      </c>
      <c r="J48" s="395">
        <v>5.7120000000000011E-4</v>
      </c>
      <c r="K48" s="395">
        <v>5.1577181208053687E-4</v>
      </c>
      <c r="L48" s="395">
        <v>0.3639841838926175</v>
      </c>
      <c r="M48" s="395">
        <v>0.36264000000000002</v>
      </c>
      <c r="N48" s="395">
        <v>4.8160000000000005E-4</v>
      </c>
      <c r="O48" s="395">
        <v>8.6258389261744967E-4</v>
      </c>
      <c r="P48" s="395">
        <v>0.13150702684563759</v>
      </c>
      <c r="Q48" s="395">
        <v>0.13073000000000001</v>
      </c>
      <c r="R48" s="395">
        <v>4.4800000000000005E-4</v>
      </c>
      <c r="S48" s="395">
        <v>3.2902684563758389E-4</v>
      </c>
      <c r="T48" s="395">
        <v>0</v>
      </c>
      <c r="U48" s="395">
        <v>0</v>
      </c>
      <c r="V48" s="395">
        <v>0</v>
      </c>
      <c r="W48" s="395">
        <v>0</v>
      </c>
      <c r="X48" s="396"/>
      <c r="Y48" s="396"/>
      <c r="Z48" s="396"/>
      <c r="AA48" s="396"/>
      <c r="AB48" s="396"/>
      <c r="AC48" s="396"/>
      <c r="AD48" s="396"/>
      <c r="AE48" s="396"/>
      <c r="AF48" s="396"/>
      <c r="AG48" s="396"/>
      <c r="AH48" s="396"/>
      <c r="AI48" s="396"/>
      <c r="AJ48" s="391"/>
    </row>
    <row r="49" spans="1:36" s="392" customFormat="1" x14ac:dyDescent="0.35">
      <c r="A49" s="707"/>
      <c r="B49" s="703" t="s">
        <v>202</v>
      </c>
      <c r="C49" s="394" t="s">
        <v>194</v>
      </c>
      <c r="D49" s="395">
        <v>0.20194644888053692</v>
      </c>
      <c r="E49" s="395">
        <v>0.20027</v>
      </c>
      <c r="F49" s="395">
        <v>4.6368000000000002E-6</v>
      </c>
      <c r="G49" s="395">
        <v>1.6718120805369126E-3</v>
      </c>
      <c r="H49" s="395">
        <v>0.20404853422818792</v>
      </c>
      <c r="I49" s="395">
        <v>0.20337</v>
      </c>
      <c r="J49" s="395">
        <v>3.5840000000000004E-4</v>
      </c>
      <c r="K49" s="395">
        <v>3.2013422818791948E-4</v>
      </c>
      <c r="L49" s="395">
        <v>0.20270690738255034</v>
      </c>
      <c r="M49" s="395">
        <v>0.20129</v>
      </c>
      <c r="N49" s="395">
        <v>1.0080000000000001E-4</v>
      </c>
      <c r="O49" s="395">
        <v>1.3161073825503355E-3</v>
      </c>
      <c r="P49" s="395">
        <v>7.0963422818791949E-2</v>
      </c>
      <c r="Q49" s="395">
        <v>7.0470000000000005E-2</v>
      </c>
      <c r="R49" s="395">
        <v>2.8000000000000003E-4</v>
      </c>
      <c r="S49" s="395">
        <v>2.134228187919463E-4</v>
      </c>
      <c r="T49" s="395">
        <v>0</v>
      </c>
      <c r="U49" s="395">
        <v>0</v>
      </c>
      <c r="V49" s="395">
        <v>0</v>
      </c>
      <c r="W49" s="395">
        <v>0</v>
      </c>
      <c r="X49" s="396"/>
      <c r="Y49" s="396"/>
      <c r="Z49" s="396"/>
      <c r="AA49" s="396"/>
      <c r="AB49" s="396"/>
      <c r="AC49" s="396"/>
      <c r="AD49" s="396"/>
      <c r="AE49" s="396"/>
      <c r="AF49" s="396"/>
      <c r="AG49" s="396"/>
      <c r="AH49" s="396"/>
      <c r="AI49" s="396"/>
      <c r="AJ49" s="391"/>
    </row>
    <row r="50" spans="1:36" s="392" customFormat="1" x14ac:dyDescent="0.35">
      <c r="A50" s="707"/>
      <c r="B50" s="703"/>
      <c r="C50" s="394" t="s">
        <v>195</v>
      </c>
      <c r="D50" s="395">
        <v>0.32500566308724826</v>
      </c>
      <c r="E50" s="395">
        <v>0.32229999999999998</v>
      </c>
      <c r="F50" s="395">
        <v>1.1200000000000001E-5</v>
      </c>
      <c r="G50" s="395">
        <v>2.6944630872483221E-3</v>
      </c>
      <c r="H50" s="395">
        <v>0.32838697181208049</v>
      </c>
      <c r="I50" s="395">
        <v>0.32729999999999998</v>
      </c>
      <c r="J50" s="395">
        <v>5.7120000000000011E-4</v>
      </c>
      <c r="K50" s="395">
        <v>5.1577181208053687E-4</v>
      </c>
      <c r="L50" s="395">
        <v>0.32621324295302018</v>
      </c>
      <c r="M50" s="395">
        <v>0.32394000000000001</v>
      </c>
      <c r="N50" s="395">
        <v>1.5679999999999999E-4</v>
      </c>
      <c r="O50" s="395">
        <v>2.1164429530201342E-3</v>
      </c>
      <c r="P50" s="395">
        <v>0.11420591946308727</v>
      </c>
      <c r="Q50" s="395">
        <v>0.11342000000000001</v>
      </c>
      <c r="R50" s="395">
        <v>4.4800000000000005E-4</v>
      </c>
      <c r="S50" s="395">
        <v>3.3791946308724835E-4</v>
      </c>
      <c r="T50" s="395">
        <v>0</v>
      </c>
      <c r="U50" s="395">
        <v>0</v>
      </c>
      <c r="V50" s="395">
        <v>0</v>
      </c>
      <c r="W50" s="395">
        <v>0</v>
      </c>
      <c r="X50" s="396"/>
      <c r="Y50" s="396"/>
      <c r="Z50" s="396"/>
      <c r="AA50" s="396"/>
      <c r="AB50" s="396"/>
      <c r="AC50" s="396"/>
      <c r="AD50" s="396"/>
      <c r="AE50" s="396"/>
      <c r="AF50" s="396"/>
      <c r="AG50" s="396"/>
      <c r="AH50" s="396"/>
      <c r="AI50" s="396"/>
      <c r="AJ50" s="391"/>
    </row>
    <row r="51" spans="1:36" s="392" customFormat="1" x14ac:dyDescent="0.35">
      <c r="A51" s="707"/>
      <c r="B51" s="703" t="s">
        <v>203</v>
      </c>
      <c r="C51" s="394" t="s">
        <v>194</v>
      </c>
      <c r="D51" s="395">
        <v>0.17659644888053691</v>
      </c>
      <c r="E51" s="395">
        <v>0.17491999999999999</v>
      </c>
      <c r="F51" s="395">
        <v>4.6368000000000002E-6</v>
      </c>
      <c r="G51" s="395">
        <v>1.6718120805369126E-3</v>
      </c>
      <c r="H51" s="395">
        <v>0.18425853422818791</v>
      </c>
      <c r="I51" s="395">
        <v>0.18357999999999999</v>
      </c>
      <c r="J51" s="395">
        <v>3.5840000000000004E-4</v>
      </c>
      <c r="K51" s="395">
        <v>3.2013422818791948E-4</v>
      </c>
      <c r="L51" s="395">
        <v>0.17864690738255035</v>
      </c>
      <c r="M51" s="395">
        <v>0.17723</v>
      </c>
      <c r="N51" s="395">
        <v>1.0080000000000001E-4</v>
      </c>
      <c r="O51" s="395">
        <v>1.3161073825503355E-3</v>
      </c>
      <c r="P51" s="395">
        <v>5.658268187919463E-2</v>
      </c>
      <c r="Q51" s="395">
        <v>5.6250000000000001E-2</v>
      </c>
      <c r="R51" s="395">
        <v>1.9040000000000002E-4</v>
      </c>
      <c r="S51" s="395">
        <v>1.4228187919463088E-4</v>
      </c>
      <c r="T51" s="395">
        <v>0</v>
      </c>
      <c r="U51" s="395">
        <v>0</v>
      </c>
      <c r="V51" s="395">
        <v>0</v>
      </c>
      <c r="W51" s="395">
        <v>0</v>
      </c>
      <c r="X51" s="396"/>
      <c r="Y51" s="396"/>
      <c r="Z51" s="396"/>
      <c r="AA51" s="396"/>
      <c r="AB51" s="396"/>
      <c r="AC51" s="396"/>
      <c r="AD51" s="396"/>
      <c r="AE51" s="396"/>
      <c r="AF51" s="396"/>
      <c r="AG51" s="396"/>
      <c r="AH51" s="396"/>
      <c r="AI51" s="396"/>
      <c r="AJ51" s="391"/>
    </row>
    <row r="52" spans="1:36" s="392" customFormat="1" x14ac:dyDescent="0.35">
      <c r="A52" s="707"/>
      <c r="B52" s="703"/>
      <c r="C52" s="394" t="s">
        <v>195</v>
      </c>
      <c r="D52" s="395">
        <v>0.28421566308724827</v>
      </c>
      <c r="E52" s="395">
        <v>0.28150999999999998</v>
      </c>
      <c r="F52" s="395">
        <v>1.1200000000000001E-5</v>
      </c>
      <c r="G52" s="395">
        <v>2.6944630872483221E-3</v>
      </c>
      <c r="H52" s="395">
        <v>0.2965369718120805</v>
      </c>
      <c r="I52" s="395">
        <v>0.29544999999999999</v>
      </c>
      <c r="J52" s="395">
        <v>5.7120000000000011E-4</v>
      </c>
      <c r="K52" s="395">
        <v>5.1577181208053687E-4</v>
      </c>
      <c r="L52" s="395">
        <v>0.28750324295302015</v>
      </c>
      <c r="M52" s="395">
        <v>0.28522999999999998</v>
      </c>
      <c r="N52" s="395">
        <v>1.5679999999999999E-4</v>
      </c>
      <c r="O52" s="395">
        <v>2.1164429530201342E-3</v>
      </c>
      <c r="P52" s="395">
        <v>9.106591543624161E-2</v>
      </c>
      <c r="Q52" s="395">
        <v>9.0529999999999999E-2</v>
      </c>
      <c r="R52" s="395">
        <v>3.1359999999999998E-4</v>
      </c>
      <c r="S52" s="395">
        <v>2.2231543624161074E-4</v>
      </c>
      <c r="T52" s="395">
        <v>0</v>
      </c>
      <c r="U52" s="395">
        <v>0</v>
      </c>
      <c r="V52" s="395">
        <v>0</v>
      </c>
      <c r="W52" s="395">
        <v>0</v>
      </c>
      <c r="X52" s="396"/>
      <c r="Y52" s="396"/>
      <c r="Z52" s="396"/>
      <c r="AA52" s="396"/>
      <c r="AB52" s="396"/>
      <c r="AC52" s="396"/>
      <c r="AD52" s="396"/>
      <c r="AE52" s="396"/>
      <c r="AF52" s="396"/>
      <c r="AG52" s="396"/>
      <c r="AH52" s="396"/>
      <c r="AI52" s="396"/>
      <c r="AJ52" s="391"/>
    </row>
    <row r="53" spans="1:36" s="392" customFormat="1" x14ac:dyDescent="0.35">
      <c r="P53" s="397"/>
      <c r="Q53" s="397"/>
      <c r="R53" s="397"/>
      <c r="S53" s="397"/>
      <c r="AJ53" s="391"/>
    </row>
    <row r="54" spans="1:36" s="392" customFormat="1" ht="20.399999999999999" x14ac:dyDescent="0.35">
      <c r="D54" s="391"/>
      <c r="E54" s="391"/>
      <c r="F54" s="391"/>
      <c r="G54" s="391"/>
      <c r="H54" s="391"/>
      <c r="I54" s="391"/>
      <c r="J54" s="391"/>
      <c r="K54" s="391"/>
      <c r="L54" s="391"/>
      <c r="M54" s="391"/>
      <c r="N54" s="391"/>
      <c r="O54" s="391"/>
      <c r="P54" s="391"/>
      <c r="Q54" s="391"/>
      <c r="R54" s="391"/>
      <c r="S54" s="391"/>
      <c r="T54" s="391"/>
      <c r="U54" s="391"/>
      <c r="V54" s="391"/>
      <c r="W54" s="391"/>
      <c r="X54" s="398" t="s">
        <v>563</v>
      </c>
      <c r="Y54" s="391"/>
      <c r="Z54" s="391"/>
      <c r="AA54" s="391"/>
      <c r="AB54" s="391"/>
      <c r="AC54" s="391"/>
      <c r="AD54" s="391"/>
      <c r="AE54" s="391"/>
      <c r="AF54" s="391"/>
      <c r="AG54" s="391"/>
      <c r="AH54" s="391"/>
      <c r="AI54" s="391"/>
      <c r="AJ54" s="391"/>
    </row>
    <row r="55" spans="1:36" s="392" customFormat="1" x14ac:dyDescent="0.35">
      <c r="D55" s="705" t="s">
        <v>184</v>
      </c>
      <c r="E55" s="705"/>
      <c r="F55" s="705"/>
      <c r="G55" s="705"/>
      <c r="H55" s="705" t="s">
        <v>185</v>
      </c>
      <c r="I55" s="705"/>
      <c r="J55" s="705"/>
      <c r="K55" s="705"/>
      <c r="L55" s="705" t="s">
        <v>204</v>
      </c>
      <c r="M55" s="705"/>
      <c r="N55" s="705"/>
      <c r="O55" s="705"/>
      <c r="P55" s="706" t="s">
        <v>205</v>
      </c>
      <c r="Q55" s="706"/>
      <c r="R55" s="706"/>
      <c r="S55" s="706"/>
      <c r="T55" s="705" t="s">
        <v>206</v>
      </c>
      <c r="U55" s="705"/>
      <c r="V55" s="705"/>
      <c r="W55" s="705"/>
      <c r="X55" s="705" t="s">
        <v>186</v>
      </c>
      <c r="Y55" s="705"/>
      <c r="Z55" s="705"/>
      <c r="AA55" s="705"/>
      <c r="AB55" s="705" t="s">
        <v>187</v>
      </c>
      <c r="AC55" s="705"/>
      <c r="AD55" s="705"/>
      <c r="AE55" s="705"/>
      <c r="AF55" s="705" t="s">
        <v>188</v>
      </c>
      <c r="AG55" s="705"/>
      <c r="AH55" s="705"/>
      <c r="AI55" s="705"/>
      <c r="AJ55" s="391"/>
    </row>
    <row r="56" spans="1:36" s="392" customFormat="1" ht="20.399999999999999" x14ac:dyDescent="0.45">
      <c r="A56" s="393" t="s">
        <v>189</v>
      </c>
      <c r="B56" s="393" t="s">
        <v>190</v>
      </c>
      <c r="C56" s="393" t="s">
        <v>191</v>
      </c>
      <c r="D56" s="394" t="s">
        <v>559</v>
      </c>
      <c r="E56" s="394" t="s">
        <v>560</v>
      </c>
      <c r="F56" s="394" t="s">
        <v>561</v>
      </c>
      <c r="G56" s="394" t="s">
        <v>562</v>
      </c>
      <c r="H56" s="394" t="s">
        <v>559</v>
      </c>
      <c r="I56" s="394" t="s">
        <v>560</v>
      </c>
      <c r="J56" s="394" t="s">
        <v>561</v>
      </c>
      <c r="K56" s="394" t="s">
        <v>562</v>
      </c>
      <c r="L56" s="394" t="s">
        <v>559</v>
      </c>
      <c r="M56" s="394" t="s">
        <v>560</v>
      </c>
      <c r="N56" s="394" t="s">
        <v>561</v>
      </c>
      <c r="O56" s="394" t="s">
        <v>562</v>
      </c>
      <c r="P56" s="400" t="s">
        <v>559</v>
      </c>
      <c r="Q56" s="400" t="s">
        <v>560</v>
      </c>
      <c r="R56" s="400" t="s">
        <v>561</v>
      </c>
      <c r="S56" s="400" t="s">
        <v>562</v>
      </c>
      <c r="T56" s="394" t="s">
        <v>559</v>
      </c>
      <c r="U56" s="394" t="s">
        <v>560</v>
      </c>
      <c r="V56" s="394" t="s">
        <v>561</v>
      </c>
      <c r="W56" s="394" t="s">
        <v>562</v>
      </c>
      <c r="X56" s="394" t="s">
        <v>559</v>
      </c>
      <c r="Y56" s="394" t="s">
        <v>560</v>
      </c>
      <c r="Z56" s="394" t="s">
        <v>561</v>
      </c>
      <c r="AA56" s="394" t="s">
        <v>562</v>
      </c>
      <c r="AB56" s="394" t="s">
        <v>559</v>
      </c>
      <c r="AC56" s="394" t="s">
        <v>560</v>
      </c>
      <c r="AD56" s="394" t="s">
        <v>561</v>
      </c>
      <c r="AE56" s="394" t="s">
        <v>562</v>
      </c>
      <c r="AF56" s="394" t="s">
        <v>559</v>
      </c>
      <c r="AG56" s="394" t="s">
        <v>560</v>
      </c>
      <c r="AH56" s="394" t="s">
        <v>561</v>
      </c>
      <c r="AI56" s="394" t="s">
        <v>562</v>
      </c>
      <c r="AJ56" s="391"/>
    </row>
    <row r="57" spans="1:36" s="392" customFormat="1" x14ac:dyDescent="0.35">
      <c r="A57" s="703" t="s">
        <v>207</v>
      </c>
      <c r="B57" s="703" t="s">
        <v>208</v>
      </c>
      <c r="C57" s="394" t="s">
        <v>194</v>
      </c>
      <c r="D57" s="399">
        <v>0.13930644888053692</v>
      </c>
      <c r="E57" s="395">
        <v>0.13763</v>
      </c>
      <c r="F57" s="395">
        <v>4.6368000000000002E-6</v>
      </c>
      <c r="G57" s="395">
        <v>1.6718120805369126E-3</v>
      </c>
      <c r="H57" s="399">
        <v>0.14079853422818792</v>
      </c>
      <c r="I57" s="395">
        <v>0.14011999999999999</v>
      </c>
      <c r="J57" s="395">
        <v>3.5840000000000004E-4</v>
      </c>
      <c r="K57" s="395">
        <v>3.2013422818791948E-4</v>
      </c>
      <c r="L57" s="399">
        <v>0.10149885771812081</v>
      </c>
      <c r="M57" s="395">
        <v>0.10049</v>
      </c>
      <c r="N57" s="395">
        <v>2.3520000000000002E-4</v>
      </c>
      <c r="O57" s="395">
        <v>7.7365771812080541E-4</v>
      </c>
      <c r="P57" s="401"/>
      <c r="Q57" s="401"/>
      <c r="R57" s="401"/>
      <c r="S57" s="401"/>
      <c r="T57" s="402"/>
      <c r="U57" s="402"/>
      <c r="V57" s="402"/>
      <c r="W57" s="402"/>
      <c r="X57" s="403">
        <v>0.1403688577181208</v>
      </c>
      <c r="Y57" s="403">
        <v>0.13936000000000001</v>
      </c>
      <c r="Z57" s="403">
        <v>2.3520000000000002E-4</v>
      </c>
      <c r="AA57" s="403">
        <v>7.7365771812080541E-4</v>
      </c>
      <c r="AB57" s="403">
        <v>2.1630648322147648E-2</v>
      </c>
      <c r="AC57" s="403">
        <v>2.1489999999999999E-2</v>
      </c>
      <c r="AD57" s="403">
        <v>7.8399999999999995E-5</v>
      </c>
      <c r="AE57" s="403">
        <v>6.2248322147651007E-5</v>
      </c>
      <c r="AF57" s="404">
        <v>0</v>
      </c>
      <c r="AG57" s="404">
        <v>0</v>
      </c>
      <c r="AH57" s="404">
        <v>0</v>
      </c>
      <c r="AI57" s="404">
        <v>0</v>
      </c>
      <c r="AJ57" s="391"/>
    </row>
    <row r="58" spans="1:36" s="392" customFormat="1" x14ac:dyDescent="0.35">
      <c r="A58" s="703"/>
      <c r="B58" s="703"/>
      <c r="C58" s="394" t="s">
        <v>195</v>
      </c>
      <c r="D58" s="399">
        <v>0.22419566308724831</v>
      </c>
      <c r="E58" s="395">
        <v>0.22148999999999999</v>
      </c>
      <c r="F58" s="395">
        <v>1.1200000000000001E-5</v>
      </c>
      <c r="G58" s="395">
        <v>2.6944630872483221E-3</v>
      </c>
      <c r="H58" s="399">
        <v>0.22659697181208052</v>
      </c>
      <c r="I58" s="395">
        <v>0.22550999999999999</v>
      </c>
      <c r="J58" s="395">
        <v>5.7120000000000011E-4</v>
      </c>
      <c r="K58" s="395">
        <v>5.1577181208053687E-4</v>
      </c>
      <c r="L58" s="399">
        <v>0.16335576644295302</v>
      </c>
      <c r="M58" s="395">
        <v>0.16173000000000001</v>
      </c>
      <c r="N58" s="395">
        <v>3.8080000000000004E-4</v>
      </c>
      <c r="O58" s="395">
        <v>1.2449664429530201E-3</v>
      </c>
      <c r="P58" s="401"/>
      <c r="Q58" s="401"/>
      <c r="R58" s="401"/>
      <c r="S58" s="401"/>
      <c r="T58" s="402"/>
      <c r="U58" s="402"/>
      <c r="V58" s="402"/>
      <c r="W58" s="402"/>
      <c r="X58" s="403">
        <v>0.22590576644295302</v>
      </c>
      <c r="Y58" s="403">
        <v>0.22428000000000001</v>
      </c>
      <c r="Z58" s="403">
        <v>3.8080000000000004E-4</v>
      </c>
      <c r="AA58" s="403">
        <v>1.2449664429530201E-3</v>
      </c>
      <c r="AB58" s="403">
        <v>3.4812218791946306E-2</v>
      </c>
      <c r="AC58" s="403">
        <v>3.458E-2</v>
      </c>
      <c r="AD58" s="403">
        <v>1.3440000000000001E-4</v>
      </c>
      <c r="AE58" s="403">
        <v>9.7818791946308734E-5</v>
      </c>
      <c r="AF58" s="404">
        <v>0</v>
      </c>
      <c r="AG58" s="404">
        <v>0</v>
      </c>
      <c r="AH58" s="404">
        <v>0</v>
      </c>
      <c r="AI58" s="404">
        <v>0</v>
      </c>
      <c r="AJ58" s="391"/>
    </row>
    <row r="59" spans="1:36" s="392" customFormat="1" x14ac:dyDescent="0.35">
      <c r="A59" s="703"/>
      <c r="B59" s="703" t="s">
        <v>209</v>
      </c>
      <c r="C59" s="394" t="s">
        <v>194</v>
      </c>
      <c r="D59" s="399">
        <v>0.16715644888053691</v>
      </c>
      <c r="E59" s="395">
        <v>0.16547999999999999</v>
      </c>
      <c r="F59" s="395">
        <v>4.6368000000000002E-6</v>
      </c>
      <c r="G59" s="395">
        <v>1.6718120805369126E-3</v>
      </c>
      <c r="H59" s="399">
        <v>0.17818853422818792</v>
      </c>
      <c r="I59" s="395">
        <v>0.17751</v>
      </c>
      <c r="J59" s="395">
        <v>3.5840000000000004E-4</v>
      </c>
      <c r="K59" s="395">
        <v>3.2013422818791948E-4</v>
      </c>
      <c r="L59" s="399">
        <v>0.10903843624161073</v>
      </c>
      <c r="M59" s="395">
        <v>0.10783</v>
      </c>
      <c r="N59" s="395">
        <v>1.6799999999999999E-4</v>
      </c>
      <c r="O59" s="395">
        <v>1.0404362416107382E-3</v>
      </c>
      <c r="P59" s="399">
        <v>0.15660419731543626</v>
      </c>
      <c r="Q59" s="399">
        <v>0.15447</v>
      </c>
      <c r="R59" s="399">
        <v>1.7696000000000003E-3</v>
      </c>
      <c r="S59" s="399">
        <v>3.6459731543624161E-4</v>
      </c>
      <c r="T59" s="399">
        <v>0.17607059731543626</v>
      </c>
      <c r="U59" s="403">
        <v>0.17565</v>
      </c>
      <c r="V59" s="403">
        <v>5.6000000000000006E-5</v>
      </c>
      <c r="W59" s="403">
        <v>3.6459731543624161E-4</v>
      </c>
      <c r="X59" s="403">
        <v>0.17245843624161075</v>
      </c>
      <c r="Y59" s="403">
        <v>0.17125000000000001</v>
      </c>
      <c r="Z59" s="403">
        <v>1.6799999999999999E-4</v>
      </c>
      <c r="AA59" s="403">
        <v>1.0404362416107382E-3</v>
      </c>
      <c r="AB59" s="403">
        <v>6.144203758389262E-2</v>
      </c>
      <c r="AC59" s="403">
        <v>6.0999999999999999E-2</v>
      </c>
      <c r="AD59" s="403">
        <v>2.4640000000000003E-4</v>
      </c>
      <c r="AE59" s="403">
        <v>1.9563758389261747E-4</v>
      </c>
      <c r="AF59" s="404">
        <v>0</v>
      </c>
      <c r="AG59" s="404">
        <v>0</v>
      </c>
      <c r="AH59" s="404">
        <v>0</v>
      </c>
      <c r="AI59" s="404">
        <v>0</v>
      </c>
      <c r="AJ59" s="391"/>
    </row>
    <row r="60" spans="1:36" s="392" customFormat="1" x14ac:dyDescent="0.35">
      <c r="A60" s="703"/>
      <c r="B60" s="703"/>
      <c r="C60" s="394" t="s">
        <v>195</v>
      </c>
      <c r="D60" s="399">
        <v>0.26901566308724828</v>
      </c>
      <c r="E60" s="395">
        <v>0.26630999999999999</v>
      </c>
      <c r="F60" s="395">
        <v>1.1200000000000001E-5</v>
      </c>
      <c r="G60" s="395">
        <v>2.6944630872483221E-3</v>
      </c>
      <c r="H60" s="399">
        <v>0.28675697181208049</v>
      </c>
      <c r="I60" s="395">
        <v>0.28566999999999998</v>
      </c>
      <c r="J60" s="395">
        <v>5.7120000000000011E-4</v>
      </c>
      <c r="K60" s="395">
        <v>5.1577181208053687E-4</v>
      </c>
      <c r="L60" s="399">
        <v>0.1754895046979866</v>
      </c>
      <c r="M60" s="395">
        <v>0.17354</v>
      </c>
      <c r="N60" s="395">
        <v>2.6880000000000003E-4</v>
      </c>
      <c r="O60" s="395">
        <v>1.6807046979865771E-3</v>
      </c>
      <c r="P60" s="399">
        <v>0.25203402013422821</v>
      </c>
      <c r="Q60" s="399">
        <v>0.24859999999999999</v>
      </c>
      <c r="R60" s="399">
        <v>2.8560000000000005E-3</v>
      </c>
      <c r="S60" s="399">
        <v>5.7802013422818786E-4</v>
      </c>
      <c r="T60" s="399">
        <v>0.28335762013422822</v>
      </c>
      <c r="U60" s="403">
        <v>0.28269</v>
      </c>
      <c r="V60" s="403">
        <v>8.9600000000000009E-5</v>
      </c>
      <c r="W60" s="403">
        <v>5.7802013422818786E-4</v>
      </c>
      <c r="X60" s="403">
        <v>0.27753950469798661</v>
      </c>
      <c r="Y60" s="403">
        <v>0.27559</v>
      </c>
      <c r="Z60" s="403">
        <v>2.6880000000000003E-4</v>
      </c>
      <c r="AA60" s="403">
        <v>1.6807046979865771E-3</v>
      </c>
      <c r="AB60" s="403">
        <v>9.8874441610738259E-2</v>
      </c>
      <c r="AC60" s="403">
        <v>9.8159999999999997E-2</v>
      </c>
      <c r="AD60" s="403">
        <v>4.0320000000000004E-4</v>
      </c>
      <c r="AE60" s="403">
        <v>3.1124161073825502E-4</v>
      </c>
      <c r="AF60" s="404">
        <v>0</v>
      </c>
      <c r="AG60" s="404">
        <v>0</v>
      </c>
      <c r="AH60" s="404">
        <v>0</v>
      </c>
      <c r="AI60" s="404">
        <v>0</v>
      </c>
      <c r="AJ60" s="391"/>
    </row>
    <row r="61" spans="1:36" s="392" customFormat="1" x14ac:dyDescent="0.35">
      <c r="A61" s="703"/>
      <c r="B61" s="703" t="s">
        <v>210</v>
      </c>
      <c r="C61" s="394" t="s">
        <v>194</v>
      </c>
      <c r="D61" s="399">
        <v>0.20858644888053693</v>
      </c>
      <c r="E61" s="395">
        <v>0.20691000000000001</v>
      </c>
      <c r="F61" s="395">
        <v>4.6368000000000002E-6</v>
      </c>
      <c r="G61" s="395">
        <v>1.6718120805369126E-3</v>
      </c>
      <c r="H61" s="399">
        <v>0.27223853422818795</v>
      </c>
      <c r="I61" s="395">
        <v>0.27156000000000002</v>
      </c>
      <c r="J61" s="395">
        <v>3.5840000000000004E-4</v>
      </c>
      <c r="K61" s="395">
        <v>3.2013422818791948E-4</v>
      </c>
      <c r="L61" s="399">
        <v>0.15243580000000001</v>
      </c>
      <c r="M61" s="395">
        <v>0.15101000000000001</v>
      </c>
      <c r="N61" s="395">
        <v>1.0080000000000001E-4</v>
      </c>
      <c r="O61" s="395">
        <v>1.325E-3</v>
      </c>
      <c r="P61" s="399">
        <v>0.23845419731543627</v>
      </c>
      <c r="Q61" s="399">
        <v>0.23632</v>
      </c>
      <c r="R61" s="399">
        <v>1.7696000000000003E-3</v>
      </c>
      <c r="S61" s="399">
        <v>3.6459731543624161E-4</v>
      </c>
      <c r="T61" s="399">
        <v>0.26914059731543627</v>
      </c>
      <c r="U61" s="403">
        <v>0.26872000000000001</v>
      </c>
      <c r="V61" s="403">
        <v>5.6000000000000006E-5</v>
      </c>
      <c r="W61" s="403">
        <v>3.6459731543624161E-4</v>
      </c>
      <c r="X61" s="403">
        <v>0.22611580000000001</v>
      </c>
      <c r="Y61" s="403">
        <v>0.22469</v>
      </c>
      <c r="Z61" s="403">
        <v>1.0080000000000001E-4</v>
      </c>
      <c r="AA61" s="403">
        <v>1.325E-3</v>
      </c>
      <c r="AB61" s="403">
        <v>7.0822315436241609E-2</v>
      </c>
      <c r="AC61" s="403">
        <v>7.0319999999999994E-2</v>
      </c>
      <c r="AD61" s="403">
        <v>2.8000000000000003E-4</v>
      </c>
      <c r="AE61" s="403">
        <v>2.2231543624161074E-4</v>
      </c>
      <c r="AF61" s="404">
        <v>0</v>
      </c>
      <c r="AG61" s="404">
        <v>0</v>
      </c>
      <c r="AH61" s="404">
        <v>0</v>
      </c>
      <c r="AI61" s="404">
        <v>0</v>
      </c>
      <c r="AJ61" s="391"/>
    </row>
    <row r="62" spans="1:36" s="392" customFormat="1" x14ac:dyDescent="0.35">
      <c r="A62" s="703"/>
      <c r="B62" s="703"/>
      <c r="C62" s="394" t="s">
        <v>195</v>
      </c>
      <c r="D62" s="399">
        <v>0.3356956630872483</v>
      </c>
      <c r="E62" s="395">
        <v>0.33299000000000001</v>
      </c>
      <c r="F62" s="395">
        <v>1.1200000000000001E-5</v>
      </c>
      <c r="G62" s="395">
        <v>2.6944630872483221E-3</v>
      </c>
      <c r="H62" s="399">
        <v>0.43811697181208048</v>
      </c>
      <c r="I62" s="395">
        <v>0.43702999999999997</v>
      </c>
      <c r="J62" s="395">
        <v>5.7120000000000011E-4</v>
      </c>
      <c r="K62" s="395">
        <v>5.1577181208053687E-4</v>
      </c>
      <c r="L62" s="399">
        <v>0.24530213557046981</v>
      </c>
      <c r="M62" s="395">
        <v>0.24302000000000001</v>
      </c>
      <c r="N62" s="395">
        <v>1.5679999999999999E-4</v>
      </c>
      <c r="O62" s="395">
        <v>2.1253355704697989E-3</v>
      </c>
      <c r="P62" s="399">
        <v>0.38375402013422821</v>
      </c>
      <c r="Q62" s="399">
        <v>0.38031999999999999</v>
      </c>
      <c r="R62" s="399">
        <v>2.8560000000000005E-3</v>
      </c>
      <c r="S62" s="399">
        <v>5.7802013422818786E-4</v>
      </c>
      <c r="T62" s="399">
        <v>0.43313762013422824</v>
      </c>
      <c r="U62" s="403">
        <v>0.43247000000000002</v>
      </c>
      <c r="V62" s="403">
        <v>8.9600000000000009E-5</v>
      </c>
      <c r="W62" s="403">
        <v>5.7802013422818786E-4</v>
      </c>
      <c r="X62" s="403">
        <v>0.36389213557046979</v>
      </c>
      <c r="Y62" s="403">
        <v>0.36160999999999999</v>
      </c>
      <c r="Z62" s="403">
        <v>1.5679999999999999E-4</v>
      </c>
      <c r="AA62" s="403">
        <v>2.1253355704697989E-3</v>
      </c>
      <c r="AB62" s="403">
        <v>0.11397370469798659</v>
      </c>
      <c r="AC62" s="403">
        <v>0.11317000000000001</v>
      </c>
      <c r="AD62" s="403">
        <v>4.4800000000000005E-4</v>
      </c>
      <c r="AE62" s="403">
        <v>3.5570469798657721E-4</v>
      </c>
      <c r="AF62" s="404">
        <v>0</v>
      </c>
      <c r="AG62" s="404">
        <v>0</v>
      </c>
      <c r="AH62" s="404">
        <v>0</v>
      </c>
      <c r="AI62" s="404">
        <v>0</v>
      </c>
      <c r="AJ62" s="391"/>
    </row>
    <row r="63" spans="1:36" s="392" customFormat="1" x14ac:dyDescent="0.35">
      <c r="A63" s="703"/>
      <c r="B63" s="703" t="s">
        <v>211</v>
      </c>
      <c r="C63" s="394" t="s">
        <v>194</v>
      </c>
      <c r="D63" s="399">
        <v>0.16982644888053691</v>
      </c>
      <c r="E63" s="395">
        <v>0.16814999999999999</v>
      </c>
      <c r="F63" s="395">
        <v>4.6368000000000002E-6</v>
      </c>
      <c r="G63" s="395">
        <v>1.6718120805369126E-3</v>
      </c>
      <c r="H63" s="399">
        <v>0.16390853422818791</v>
      </c>
      <c r="I63" s="395">
        <v>0.16322999999999999</v>
      </c>
      <c r="J63" s="395">
        <v>3.5840000000000004E-4</v>
      </c>
      <c r="K63" s="395">
        <v>3.2013422818791948E-4</v>
      </c>
      <c r="L63" s="399">
        <v>0.11897858791946307</v>
      </c>
      <c r="M63" s="395">
        <v>0.11781</v>
      </c>
      <c r="N63" s="395">
        <v>1.9040000000000002E-4</v>
      </c>
      <c r="O63" s="395">
        <v>9.781879194630872E-4</v>
      </c>
      <c r="P63" s="399">
        <v>0.17504419731543627</v>
      </c>
      <c r="Q63" s="399">
        <v>0.17291000000000001</v>
      </c>
      <c r="R63" s="399">
        <v>1.7696000000000003E-3</v>
      </c>
      <c r="S63" s="399">
        <v>3.6459731543624161E-4</v>
      </c>
      <c r="T63" s="399">
        <v>0.19704059731543624</v>
      </c>
      <c r="U63" s="403">
        <v>0.19661999999999999</v>
      </c>
      <c r="V63" s="403">
        <v>5.6000000000000006E-5</v>
      </c>
      <c r="W63" s="403">
        <v>3.6459731543624161E-4</v>
      </c>
      <c r="X63" s="403">
        <v>0.16663858791946309</v>
      </c>
      <c r="Y63" s="403">
        <v>0.16547000000000001</v>
      </c>
      <c r="Z63" s="403">
        <v>1.9040000000000002E-4</v>
      </c>
      <c r="AA63" s="403">
        <v>9.781879194630872E-4</v>
      </c>
      <c r="AB63" s="403">
        <v>6.5882130201342287E-2</v>
      </c>
      <c r="AC63" s="403">
        <v>6.5420000000000006E-2</v>
      </c>
      <c r="AD63" s="403">
        <v>2.5760000000000003E-4</v>
      </c>
      <c r="AE63" s="403">
        <v>2.0453020134228187E-4</v>
      </c>
      <c r="AF63" s="404">
        <v>0</v>
      </c>
      <c r="AG63" s="404">
        <v>0</v>
      </c>
      <c r="AH63" s="404">
        <v>0</v>
      </c>
      <c r="AI63" s="404">
        <v>0</v>
      </c>
      <c r="AJ63" s="391"/>
    </row>
    <row r="64" spans="1:36" s="392" customFormat="1" x14ac:dyDescent="0.35">
      <c r="A64" s="703"/>
      <c r="B64" s="703"/>
      <c r="C64" s="394" t="s">
        <v>195</v>
      </c>
      <c r="D64" s="399">
        <v>0.27331566308724831</v>
      </c>
      <c r="E64" s="395">
        <v>0.27061000000000002</v>
      </c>
      <c r="F64" s="395">
        <v>1.1200000000000001E-5</v>
      </c>
      <c r="G64" s="395">
        <v>2.6944630872483221E-3</v>
      </c>
      <c r="H64" s="399">
        <v>0.2637869718120805</v>
      </c>
      <c r="I64" s="395">
        <v>0.26269999999999999</v>
      </c>
      <c r="J64" s="395">
        <v>5.7120000000000011E-4</v>
      </c>
      <c r="K64" s="395">
        <v>5.1577181208053687E-4</v>
      </c>
      <c r="L64" s="399">
        <v>0.19146750067114093</v>
      </c>
      <c r="M64" s="395">
        <v>0.18959999999999999</v>
      </c>
      <c r="N64" s="395">
        <v>3.0240000000000003E-4</v>
      </c>
      <c r="O64" s="395">
        <v>1.5651006711409397E-3</v>
      </c>
      <c r="P64" s="399">
        <v>0.28170402013422824</v>
      </c>
      <c r="Q64" s="399">
        <v>0.27827000000000002</v>
      </c>
      <c r="R64" s="399">
        <v>2.8560000000000005E-3</v>
      </c>
      <c r="S64" s="399">
        <v>5.7802013422818786E-4</v>
      </c>
      <c r="T64" s="399">
        <v>0.31709762013422821</v>
      </c>
      <c r="U64" s="403">
        <v>0.31642999999999999</v>
      </c>
      <c r="V64" s="403">
        <v>8.9600000000000009E-5</v>
      </c>
      <c r="W64" s="403">
        <v>5.7802013422818786E-4</v>
      </c>
      <c r="X64" s="403">
        <v>0.26816750067114092</v>
      </c>
      <c r="Y64" s="403">
        <v>0.26629999999999998</v>
      </c>
      <c r="Z64" s="403">
        <v>3.0240000000000003E-4</v>
      </c>
      <c r="AA64" s="403">
        <v>1.5651006711409397E-3</v>
      </c>
      <c r="AB64" s="403">
        <v>0.10601453422818791</v>
      </c>
      <c r="AC64" s="403">
        <v>0.10528</v>
      </c>
      <c r="AD64" s="403">
        <v>4.1440000000000004E-4</v>
      </c>
      <c r="AE64" s="403">
        <v>3.2013422818791948E-4</v>
      </c>
      <c r="AF64" s="404">
        <v>0</v>
      </c>
      <c r="AG64" s="404">
        <v>0</v>
      </c>
      <c r="AH64" s="404">
        <v>0</v>
      </c>
      <c r="AI64" s="404">
        <v>0</v>
      </c>
      <c r="AJ64" s="391"/>
    </row>
    <row r="65" spans="1:36" s="392" customFormat="1" x14ac:dyDescent="0.35">
      <c r="AJ65" s="391"/>
    </row>
    <row r="66" spans="1:36" s="392" customFormat="1" x14ac:dyDescent="0.35">
      <c r="AJ66" s="391"/>
    </row>
    <row r="67" spans="1:36" s="392" customFormat="1" x14ac:dyDescent="0.35">
      <c r="AJ67" s="391"/>
    </row>
    <row r="68" spans="1:36" s="392" customFormat="1" ht="20.399999999999999" x14ac:dyDescent="0.45">
      <c r="A68" s="393" t="s">
        <v>189</v>
      </c>
      <c r="B68" s="393" t="s">
        <v>190</v>
      </c>
      <c r="C68" s="393" t="s">
        <v>191</v>
      </c>
      <c r="D68" s="394" t="s">
        <v>559</v>
      </c>
      <c r="E68" s="394" t="s">
        <v>560</v>
      </c>
      <c r="F68" s="394" t="s">
        <v>561</v>
      </c>
      <c r="G68" s="394" t="s">
        <v>562</v>
      </c>
      <c r="AJ68" s="391"/>
    </row>
    <row r="69" spans="1:36" s="392" customFormat="1" x14ac:dyDescent="0.35">
      <c r="A69" s="703" t="s">
        <v>212</v>
      </c>
      <c r="B69" s="703" t="s">
        <v>213</v>
      </c>
      <c r="C69" s="394" t="s">
        <v>194</v>
      </c>
      <c r="D69" s="399">
        <v>8.3185186577181214E-2</v>
      </c>
      <c r="E69" s="405">
        <v>8.0939999999999998E-2</v>
      </c>
      <c r="F69" s="405">
        <v>1.7472000000000002E-3</v>
      </c>
      <c r="G69" s="405">
        <v>4.9798657718120806E-4</v>
      </c>
      <c r="AJ69" s="391"/>
    </row>
    <row r="70" spans="1:36" s="392" customFormat="1" x14ac:dyDescent="0.35">
      <c r="A70" s="703"/>
      <c r="B70" s="703"/>
      <c r="C70" s="394" t="s">
        <v>195</v>
      </c>
      <c r="D70" s="399">
        <v>0.1338927355704698</v>
      </c>
      <c r="E70" s="405">
        <v>0.13027</v>
      </c>
      <c r="F70" s="405">
        <v>2.8224000000000005E-3</v>
      </c>
      <c r="G70" s="405">
        <v>8.0033557046979868E-4</v>
      </c>
      <c r="AJ70" s="391"/>
    </row>
    <row r="71" spans="1:36" s="392" customFormat="1" x14ac:dyDescent="0.35">
      <c r="A71" s="703"/>
      <c r="B71" s="703" t="s">
        <v>15</v>
      </c>
      <c r="C71" s="394" t="s">
        <v>194</v>
      </c>
      <c r="D71" s="399">
        <v>0.10107835704697987</v>
      </c>
      <c r="E71" s="405">
        <v>9.826E-2</v>
      </c>
      <c r="F71" s="405">
        <v>2.2848000000000005E-3</v>
      </c>
      <c r="G71" s="405">
        <v>5.3355704697986568E-4</v>
      </c>
      <c r="AJ71" s="391"/>
    </row>
    <row r="72" spans="1:36" s="392" customFormat="1" x14ac:dyDescent="0.35">
      <c r="A72" s="703"/>
      <c r="B72" s="703"/>
      <c r="C72" s="394" t="s">
        <v>195</v>
      </c>
      <c r="D72" s="399">
        <v>0.16265729127516779</v>
      </c>
      <c r="E72" s="405">
        <v>0.15812999999999999</v>
      </c>
      <c r="F72" s="405">
        <v>3.6736000000000004E-3</v>
      </c>
      <c r="G72" s="405">
        <v>8.5369127516778521E-4</v>
      </c>
      <c r="AJ72" s="391"/>
    </row>
    <row r="73" spans="1:36" s="392" customFormat="1" x14ac:dyDescent="0.35">
      <c r="A73" s="703"/>
      <c r="B73" s="703" t="s">
        <v>214</v>
      </c>
      <c r="C73" s="394" t="s">
        <v>194</v>
      </c>
      <c r="D73" s="399">
        <v>0.13251915704697986</v>
      </c>
      <c r="E73" s="405">
        <v>0.13072</v>
      </c>
      <c r="F73" s="405">
        <v>1.2656E-3</v>
      </c>
      <c r="G73" s="405">
        <v>5.3355704697986568E-4</v>
      </c>
      <c r="AJ73" s="391"/>
    </row>
    <row r="74" spans="1:36" s="392" customFormat="1" x14ac:dyDescent="0.35">
      <c r="A74" s="703"/>
      <c r="B74" s="703"/>
      <c r="C74" s="394" t="s">
        <v>195</v>
      </c>
      <c r="D74" s="399">
        <v>0.21326209127516779</v>
      </c>
      <c r="E74" s="405">
        <v>0.21037</v>
      </c>
      <c r="F74" s="405">
        <v>2.0384000000000001E-3</v>
      </c>
      <c r="G74" s="405">
        <v>8.5369127516778521E-4</v>
      </c>
      <c r="AJ74" s="391"/>
    </row>
    <row r="75" spans="1:36" s="392" customFormat="1" x14ac:dyDescent="0.35">
      <c r="A75" s="703"/>
      <c r="B75" s="703" t="s">
        <v>215</v>
      </c>
      <c r="C75" s="394" t="s">
        <v>194</v>
      </c>
      <c r="D75" s="399">
        <v>0.1136742644295302</v>
      </c>
      <c r="E75" s="405">
        <v>0.11138000000000001</v>
      </c>
      <c r="F75" s="405">
        <v>1.7696000000000003E-3</v>
      </c>
      <c r="G75" s="405">
        <v>5.2466442953020133E-4</v>
      </c>
      <c r="AJ75" s="391"/>
    </row>
    <row r="76" spans="1:36" s="392" customFormat="1" x14ac:dyDescent="0.35">
      <c r="A76" s="703"/>
      <c r="B76" s="703"/>
      <c r="C76" s="394" t="s">
        <v>195</v>
      </c>
      <c r="D76" s="399">
        <v>0.18293959865771811</v>
      </c>
      <c r="E76" s="405">
        <v>0.17924999999999999</v>
      </c>
      <c r="F76" s="405">
        <v>2.8448000000000006E-3</v>
      </c>
      <c r="G76" s="405">
        <v>8.4479865771812076E-4</v>
      </c>
      <c r="AJ76" s="391"/>
    </row>
    <row r="77" spans="1:36" s="392" customFormat="1" x14ac:dyDescent="0.35">
      <c r="A77" s="406"/>
      <c r="B77" s="406"/>
      <c r="C77" s="406"/>
      <c r="D77" s="406"/>
      <c r="E77" s="406"/>
      <c r="F77" s="406"/>
      <c r="G77" s="406"/>
      <c r="H77" s="406"/>
      <c r="I77" s="406"/>
      <c r="J77" s="406"/>
      <c r="K77" s="406"/>
      <c r="L77" s="406"/>
    </row>
    <row r="78" spans="1:36" s="392" customFormat="1" x14ac:dyDescent="0.35">
      <c r="A78" s="406"/>
      <c r="B78" s="406"/>
      <c r="C78" s="406"/>
      <c r="D78" s="406"/>
      <c r="E78" s="406"/>
      <c r="F78" s="406"/>
      <c r="G78" s="406"/>
      <c r="H78" s="406"/>
      <c r="I78" s="406"/>
      <c r="J78" s="406"/>
      <c r="K78" s="406"/>
      <c r="L78" s="406"/>
    </row>
    <row r="79" spans="1:36" s="366" customFormat="1" x14ac:dyDescent="0.35">
      <c r="A79" s="383" t="s">
        <v>216</v>
      </c>
      <c r="B79" s="383"/>
      <c r="C79" s="383"/>
      <c r="D79" s="383"/>
      <c r="E79" s="383"/>
      <c r="F79" s="383"/>
      <c r="G79" s="383"/>
      <c r="H79" s="383"/>
      <c r="I79" s="383"/>
      <c r="J79" s="383"/>
      <c r="K79" s="383"/>
      <c r="L79" s="383"/>
      <c r="M79" s="407"/>
      <c r="N79" s="407"/>
      <c r="O79" s="407"/>
    </row>
    <row r="80" spans="1:36" s="366" customFormat="1" ht="21" customHeight="1" x14ac:dyDescent="0.35">
      <c r="A80" s="669" t="s">
        <v>217</v>
      </c>
      <c r="B80" s="669"/>
      <c r="C80" s="669"/>
      <c r="D80" s="669"/>
      <c r="E80" s="669"/>
      <c r="F80" s="669"/>
      <c r="G80" s="669"/>
      <c r="H80" s="669"/>
      <c r="I80" s="669"/>
      <c r="J80" s="669"/>
      <c r="K80" s="669"/>
      <c r="L80" s="669"/>
      <c r="M80" s="669"/>
      <c r="N80" s="407"/>
      <c r="O80" s="407"/>
    </row>
    <row r="81" spans="1:15" s="366" customFormat="1" ht="37.5" customHeight="1" x14ac:dyDescent="0.35">
      <c r="A81" s="666" t="s">
        <v>218</v>
      </c>
      <c r="B81" s="666"/>
      <c r="C81" s="666"/>
      <c r="D81" s="666"/>
      <c r="E81" s="666"/>
      <c r="F81" s="666"/>
      <c r="G81" s="666"/>
      <c r="H81" s="666"/>
      <c r="I81" s="666"/>
      <c r="J81" s="666"/>
      <c r="K81" s="666"/>
      <c r="L81" s="666"/>
      <c r="M81" s="666"/>
      <c r="N81" s="407"/>
      <c r="O81" s="407"/>
    </row>
    <row r="82" spans="1:15" s="366" customFormat="1" ht="15" customHeight="1" x14ac:dyDescent="0.35">
      <c r="A82" s="669" t="s">
        <v>219</v>
      </c>
      <c r="B82" s="669"/>
      <c r="C82" s="669"/>
      <c r="D82" s="669"/>
      <c r="E82" s="669"/>
      <c r="F82" s="669"/>
      <c r="G82" s="669"/>
      <c r="H82" s="669"/>
      <c r="I82" s="669"/>
      <c r="J82" s="669"/>
      <c r="K82" s="669"/>
      <c r="L82" s="669"/>
      <c r="M82" s="669"/>
      <c r="N82" s="407"/>
      <c r="O82" s="407"/>
    </row>
    <row r="83" spans="1:15" s="366" customFormat="1" ht="57" customHeight="1" x14ac:dyDescent="0.35">
      <c r="A83" s="704" t="s">
        <v>220</v>
      </c>
      <c r="B83" s="704"/>
      <c r="C83" s="704"/>
      <c r="D83" s="704"/>
      <c r="E83" s="704"/>
      <c r="F83" s="704"/>
      <c r="G83" s="704"/>
      <c r="H83" s="704"/>
      <c r="I83" s="704"/>
      <c r="J83" s="704"/>
      <c r="K83" s="704"/>
      <c r="L83" s="704"/>
      <c r="M83" s="704"/>
      <c r="N83" s="407"/>
      <c r="O83" s="407"/>
    </row>
    <row r="84" spans="1:15" s="366" customFormat="1" ht="15" customHeight="1" x14ac:dyDescent="0.35">
      <c r="A84" s="669" t="s">
        <v>564</v>
      </c>
      <c r="B84" s="669"/>
      <c r="C84" s="669"/>
      <c r="D84" s="669"/>
      <c r="E84" s="669"/>
      <c r="F84" s="669"/>
      <c r="G84" s="669"/>
      <c r="H84" s="669"/>
      <c r="I84" s="669"/>
      <c r="J84" s="669"/>
      <c r="K84" s="669"/>
      <c r="L84" s="669"/>
      <c r="M84" s="669"/>
    </row>
    <row r="85" spans="1:15" s="366" customFormat="1" ht="39" customHeight="1" x14ac:dyDescent="0.35">
      <c r="A85" s="666" t="s">
        <v>565</v>
      </c>
      <c r="B85" s="666"/>
      <c r="C85" s="666"/>
      <c r="D85" s="666"/>
      <c r="E85" s="666"/>
      <c r="F85" s="666"/>
      <c r="G85" s="666"/>
      <c r="H85" s="666"/>
      <c r="I85" s="666"/>
      <c r="J85" s="666"/>
      <c r="K85" s="666"/>
      <c r="L85" s="666"/>
      <c r="M85" s="666"/>
    </row>
    <row r="86" spans="1:15" s="366" customFormat="1" ht="15" customHeight="1" x14ac:dyDescent="0.35">
      <c r="A86" s="669" t="s">
        <v>221</v>
      </c>
      <c r="B86" s="669"/>
      <c r="C86" s="669"/>
      <c r="D86" s="669"/>
      <c r="E86" s="669"/>
      <c r="F86" s="669"/>
      <c r="G86" s="669"/>
      <c r="H86" s="669"/>
      <c r="I86" s="669"/>
      <c r="J86" s="669"/>
      <c r="K86" s="669"/>
      <c r="L86" s="669"/>
      <c r="M86" s="669"/>
    </row>
    <row r="87" spans="1:15" s="366" customFormat="1" ht="19.5" customHeight="1" x14ac:dyDescent="0.35">
      <c r="B87" s="408" t="s">
        <v>222</v>
      </c>
      <c r="C87" s="386"/>
      <c r="D87" s="386"/>
      <c r="E87" s="386"/>
      <c r="F87" s="386"/>
      <c r="G87" s="386"/>
      <c r="H87" s="386"/>
      <c r="I87" s="386"/>
      <c r="J87" s="386"/>
      <c r="K87" s="386"/>
      <c r="L87" s="409"/>
    </row>
    <row r="88" spans="1:15" s="387" customFormat="1" ht="12.75" customHeight="1" x14ac:dyDescent="0.35">
      <c r="B88" s="700" t="s">
        <v>566</v>
      </c>
      <c r="C88" s="700"/>
      <c r="D88" s="700"/>
      <c r="E88" s="700"/>
      <c r="F88" s="700"/>
      <c r="G88" s="700"/>
      <c r="H88" s="700"/>
      <c r="I88" s="700"/>
      <c r="J88" s="700"/>
      <c r="K88" s="700"/>
    </row>
    <row r="89" spans="1:15" s="366" customFormat="1" x14ac:dyDescent="0.35">
      <c r="B89" s="410"/>
      <c r="C89" s="384"/>
      <c r="D89" s="384"/>
      <c r="E89" s="384"/>
      <c r="F89" s="384"/>
      <c r="G89" s="384"/>
      <c r="H89" s="384"/>
      <c r="I89" s="384"/>
      <c r="J89" s="384"/>
      <c r="K89" s="384"/>
    </row>
    <row r="90" spans="1:15" s="366" customFormat="1" x14ac:dyDescent="0.35">
      <c r="B90" s="411"/>
      <c r="C90" s="412" t="s">
        <v>223</v>
      </c>
      <c r="D90" s="412" t="s">
        <v>224</v>
      </c>
      <c r="E90" s="412" t="s">
        <v>224</v>
      </c>
      <c r="F90" s="412" t="s">
        <v>225</v>
      </c>
      <c r="G90" s="412" t="s">
        <v>225</v>
      </c>
      <c r="H90" s="697" t="s">
        <v>226</v>
      </c>
      <c r="I90" s="698"/>
      <c r="J90" s="698"/>
      <c r="K90" s="699"/>
    </row>
    <row r="91" spans="1:15" s="366" customFormat="1" ht="72" x14ac:dyDescent="0.35">
      <c r="B91" s="413"/>
      <c r="C91" s="394"/>
      <c r="D91" s="413" t="s">
        <v>187</v>
      </c>
      <c r="E91" s="413" t="s">
        <v>188</v>
      </c>
      <c r="F91" s="413" t="s">
        <v>187</v>
      </c>
      <c r="G91" s="413" t="s">
        <v>188</v>
      </c>
      <c r="H91" s="688"/>
      <c r="I91" s="689"/>
      <c r="J91" s="689"/>
      <c r="K91" s="690"/>
    </row>
    <row r="92" spans="1:15" s="366" customFormat="1" ht="15" customHeight="1" x14ac:dyDescent="0.35">
      <c r="B92" s="414" t="s">
        <v>227</v>
      </c>
      <c r="C92" s="415" t="s">
        <v>172</v>
      </c>
      <c r="D92" s="411" t="s">
        <v>228</v>
      </c>
      <c r="E92" s="411" t="s">
        <v>229</v>
      </c>
      <c r="F92" s="411" t="s">
        <v>228</v>
      </c>
      <c r="G92" s="411" t="s">
        <v>229</v>
      </c>
      <c r="H92" s="694" t="s">
        <v>230</v>
      </c>
      <c r="I92" s="695"/>
      <c r="J92" s="695"/>
      <c r="K92" s="696"/>
    </row>
    <row r="93" spans="1:15" s="366" customFormat="1" ht="15" customHeight="1" x14ac:dyDescent="0.35">
      <c r="B93" s="414" t="s">
        <v>231</v>
      </c>
      <c r="C93" s="415" t="s">
        <v>232</v>
      </c>
      <c r="D93" s="411" t="s">
        <v>228</v>
      </c>
      <c r="E93" s="411" t="s">
        <v>229</v>
      </c>
      <c r="F93" s="411" t="s">
        <v>228</v>
      </c>
      <c r="G93" s="411" t="s">
        <v>229</v>
      </c>
      <c r="H93" s="694" t="s">
        <v>233</v>
      </c>
      <c r="I93" s="695"/>
      <c r="J93" s="695"/>
      <c r="K93" s="696"/>
    </row>
    <row r="94" spans="1:15" s="366" customFormat="1" ht="15" customHeight="1" x14ac:dyDescent="0.35">
      <c r="B94" s="414" t="s">
        <v>234</v>
      </c>
      <c r="C94" s="415" t="s">
        <v>235</v>
      </c>
      <c r="D94" s="411" t="s">
        <v>228</v>
      </c>
      <c r="E94" s="411" t="s">
        <v>228</v>
      </c>
      <c r="F94" s="411" t="s">
        <v>228</v>
      </c>
      <c r="G94" s="411" t="s">
        <v>228</v>
      </c>
      <c r="H94" s="694" t="s">
        <v>236</v>
      </c>
      <c r="I94" s="695"/>
      <c r="J94" s="695"/>
      <c r="K94" s="696"/>
    </row>
    <row r="95" spans="1:15" s="366" customFormat="1" ht="30" customHeight="1" x14ac:dyDescent="0.35">
      <c r="B95" s="414" t="s">
        <v>237</v>
      </c>
      <c r="C95" s="415" t="s">
        <v>232</v>
      </c>
      <c r="D95" s="411" t="s">
        <v>228</v>
      </c>
      <c r="E95" s="411" t="s">
        <v>228</v>
      </c>
      <c r="F95" s="411" t="s">
        <v>228</v>
      </c>
      <c r="G95" s="411" t="s">
        <v>228</v>
      </c>
      <c r="H95" s="694" t="s">
        <v>238</v>
      </c>
      <c r="I95" s="695"/>
      <c r="J95" s="695"/>
      <c r="K95" s="696"/>
    </row>
    <row r="96" spans="1:15" s="366" customFormat="1" ht="33" customHeight="1" x14ac:dyDescent="0.35">
      <c r="B96" s="414" t="s">
        <v>239</v>
      </c>
      <c r="C96" s="415" t="s">
        <v>232</v>
      </c>
      <c r="D96" s="411" t="s">
        <v>228</v>
      </c>
      <c r="E96" s="411" t="s">
        <v>228</v>
      </c>
      <c r="F96" s="411" t="s">
        <v>228</v>
      </c>
      <c r="G96" s="411" t="s">
        <v>228</v>
      </c>
      <c r="H96" s="694" t="s">
        <v>240</v>
      </c>
      <c r="I96" s="695"/>
      <c r="J96" s="695"/>
      <c r="K96" s="696"/>
    </row>
    <row r="97" spans="1:13" s="366" customFormat="1" ht="26.25" customHeight="1" x14ac:dyDescent="0.35">
      <c r="A97" s="384"/>
      <c r="B97" s="384"/>
      <c r="C97" s="384"/>
      <c r="D97" s="384"/>
      <c r="E97" s="384"/>
      <c r="F97" s="384"/>
      <c r="G97" s="384"/>
      <c r="H97" s="384"/>
      <c r="I97" s="384"/>
      <c r="J97" s="384"/>
      <c r="K97" s="384"/>
    </row>
    <row r="98" spans="1:13" s="366" customFormat="1" x14ac:dyDescent="0.35">
      <c r="B98" s="410" t="s">
        <v>241</v>
      </c>
      <c r="C98" s="384"/>
      <c r="D98" s="384"/>
      <c r="E98" s="384"/>
      <c r="F98" s="384"/>
      <c r="G98" s="384"/>
      <c r="H98" s="384"/>
      <c r="I98" s="384"/>
      <c r="J98" s="384"/>
      <c r="K98" s="384"/>
      <c r="L98" s="384"/>
    </row>
    <row r="99" spans="1:13" s="387" customFormat="1" ht="19.5" customHeight="1" x14ac:dyDescent="0.35">
      <c r="A99" s="366"/>
      <c r="B99" s="700" t="s">
        <v>567</v>
      </c>
      <c r="C99" s="700"/>
      <c r="D99" s="700"/>
      <c r="E99" s="700"/>
      <c r="F99" s="700"/>
      <c r="G99" s="700"/>
      <c r="H99" s="700"/>
      <c r="I99" s="700"/>
      <c r="J99" s="700"/>
      <c r="K99" s="700"/>
      <c r="L99" s="386"/>
    </row>
    <row r="100" spans="1:13" s="387" customFormat="1" ht="33" customHeight="1" x14ac:dyDescent="0.35">
      <c r="A100" s="366"/>
      <c r="B100" s="701" t="s">
        <v>568</v>
      </c>
      <c r="C100" s="701"/>
      <c r="D100" s="701"/>
      <c r="E100" s="701"/>
      <c r="F100" s="701"/>
      <c r="G100" s="701"/>
      <c r="H100" s="701"/>
      <c r="I100" s="701"/>
      <c r="J100" s="701"/>
      <c r="K100" s="701"/>
      <c r="L100" s="382"/>
      <c r="M100" s="382"/>
    </row>
    <row r="101" spans="1:13" s="366" customFormat="1" x14ac:dyDescent="0.35">
      <c r="B101" s="702" t="s">
        <v>569</v>
      </c>
      <c r="C101" s="702"/>
      <c r="D101" s="702"/>
      <c r="E101" s="702"/>
      <c r="F101" s="702"/>
      <c r="G101" s="702"/>
      <c r="H101" s="384"/>
      <c r="I101" s="384"/>
      <c r="J101" s="384"/>
      <c r="K101" s="384"/>
      <c r="L101" s="384"/>
    </row>
    <row r="102" spans="1:13" s="366" customFormat="1" x14ac:dyDescent="0.35">
      <c r="B102" s="410"/>
      <c r="C102" s="384"/>
      <c r="D102" s="384"/>
      <c r="E102" s="384"/>
      <c r="F102" s="384"/>
      <c r="G102" s="384"/>
      <c r="H102" s="384"/>
      <c r="I102" s="384"/>
      <c r="J102" s="384"/>
      <c r="K102" s="384"/>
      <c r="L102" s="384"/>
    </row>
    <row r="103" spans="1:13" s="366" customFormat="1" x14ac:dyDescent="0.35">
      <c r="B103" s="411"/>
      <c r="C103" s="412" t="s">
        <v>223</v>
      </c>
      <c r="D103" s="412" t="s">
        <v>224</v>
      </c>
      <c r="E103" s="412" t="s">
        <v>224</v>
      </c>
      <c r="F103" s="412" t="s">
        <v>225</v>
      </c>
      <c r="G103" s="412" t="s">
        <v>225</v>
      </c>
      <c r="H103" s="697" t="s">
        <v>226</v>
      </c>
      <c r="I103" s="698"/>
      <c r="J103" s="698"/>
      <c r="K103" s="699"/>
      <c r="L103" s="384"/>
    </row>
    <row r="104" spans="1:13" s="366" customFormat="1" ht="72" x14ac:dyDescent="0.35">
      <c r="B104" s="413"/>
      <c r="C104" s="394"/>
      <c r="D104" s="413" t="s">
        <v>187</v>
      </c>
      <c r="E104" s="413" t="s">
        <v>188</v>
      </c>
      <c r="F104" s="413" t="s">
        <v>187</v>
      </c>
      <c r="G104" s="413" t="s">
        <v>188</v>
      </c>
      <c r="H104" s="688"/>
      <c r="I104" s="689"/>
      <c r="J104" s="689"/>
      <c r="K104" s="690"/>
      <c r="L104" s="384"/>
    </row>
    <row r="105" spans="1:13" s="366" customFormat="1" ht="36" x14ac:dyDescent="0.35">
      <c r="A105" s="416" t="s">
        <v>242</v>
      </c>
      <c r="B105" s="414" t="s">
        <v>165</v>
      </c>
      <c r="C105" s="415" t="s">
        <v>172</v>
      </c>
      <c r="D105" s="411" t="s">
        <v>228</v>
      </c>
      <c r="E105" s="411" t="s">
        <v>229</v>
      </c>
      <c r="F105" s="417"/>
      <c r="G105" s="417"/>
      <c r="H105" s="691" t="s">
        <v>243</v>
      </c>
      <c r="I105" s="692"/>
      <c r="J105" s="692"/>
      <c r="K105" s="693"/>
      <c r="L105" s="384"/>
    </row>
    <row r="106" spans="1:13" s="366" customFormat="1" ht="36" x14ac:dyDescent="0.35">
      <c r="A106" s="416" t="s">
        <v>242</v>
      </c>
      <c r="B106" s="414" t="s">
        <v>244</v>
      </c>
      <c r="C106" s="415" t="s">
        <v>172</v>
      </c>
      <c r="D106" s="417"/>
      <c r="E106" s="417"/>
      <c r="F106" s="411" t="s">
        <v>228</v>
      </c>
      <c r="G106" s="411" t="s">
        <v>229</v>
      </c>
      <c r="H106" s="691" t="s">
        <v>243</v>
      </c>
      <c r="I106" s="692"/>
      <c r="J106" s="692"/>
      <c r="K106" s="693"/>
      <c r="L106" s="384"/>
    </row>
    <row r="107" spans="1:13" s="366" customFormat="1" ht="36" x14ac:dyDescent="0.35">
      <c r="A107" s="416" t="s">
        <v>242</v>
      </c>
      <c r="B107" s="414" t="s">
        <v>245</v>
      </c>
      <c r="C107" s="415" t="s">
        <v>235</v>
      </c>
      <c r="D107" s="411" t="s">
        <v>228</v>
      </c>
      <c r="E107" s="411" t="s">
        <v>228</v>
      </c>
      <c r="F107" s="411" t="s">
        <v>228</v>
      </c>
      <c r="G107" s="411" t="s">
        <v>228</v>
      </c>
      <c r="H107" s="691" t="s">
        <v>246</v>
      </c>
      <c r="I107" s="692"/>
      <c r="J107" s="692"/>
      <c r="K107" s="693"/>
      <c r="L107" s="384"/>
    </row>
    <row r="108" spans="1:13" s="366" customFormat="1" ht="17.25" customHeight="1" x14ac:dyDescent="0.35">
      <c r="A108" s="416" t="s">
        <v>242</v>
      </c>
      <c r="B108" s="414" t="s">
        <v>247</v>
      </c>
      <c r="C108" s="415" t="s">
        <v>232</v>
      </c>
      <c r="D108" s="411" t="s">
        <v>228</v>
      </c>
      <c r="E108" s="411" t="s">
        <v>228</v>
      </c>
      <c r="F108" s="411" t="s">
        <v>228</v>
      </c>
      <c r="G108" s="411" t="s">
        <v>228</v>
      </c>
      <c r="H108" s="691" t="s">
        <v>248</v>
      </c>
      <c r="I108" s="692"/>
      <c r="J108" s="692"/>
      <c r="K108" s="693"/>
      <c r="L108" s="384"/>
    </row>
    <row r="109" spans="1:13" s="366" customFormat="1" x14ac:dyDescent="0.35">
      <c r="A109" s="416"/>
      <c r="B109" s="418" t="s">
        <v>249</v>
      </c>
      <c r="C109" s="419"/>
      <c r="D109" s="419"/>
      <c r="E109" s="419"/>
      <c r="F109" s="419"/>
      <c r="G109" s="419"/>
      <c r="H109" s="419"/>
      <c r="I109" s="419"/>
      <c r="J109" s="419"/>
      <c r="K109" s="419"/>
      <c r="L109" s="384"/>
    </row>
    <row r="110" spans="1:13" s="366" customFormat="1" ht="30.75" customHeight="1" x14ac:dyDescent="0.35">
      <c r="A110" s="416" t="s">
        <v>250</v>
      </c>
      <c r="B110" s="414" t="s">
        <v>251</v>
      </c>
      <c r="C110" s="415" t="s">
        <v>232</v>
      </c>
      <c r="D110" s="411" t="s">
        <v>228</v>
      </c>
      <c r="E110" s="411" t="s">
        <v>228</v>
      </c>
      <c r="F110" s="417"/>
      <c r="G110" s="417"/>
      <c r="H110" s="694" t="s">
        <v>252</v>
      </c>
      <c r="I110" s="695"/>
      <c r="J110" s="695"/>
      <c r="K110" s="696"/>
      <c r="L110" s="384"/>
    </row>
    <row r="111" spans="1:13" s="366" customFormat="1" ht="30" customHeight="1" x14ac:dyDescent="0.35">
      <c r="A111" s="416" t="s">
        <v>250</v>
      </c>
      <c r="B111" s="414" t="s">
        <v>253</v>
      </c>
      <c r="C111" s="415" t="s">
        <v>232</v>
      </c>
      <c r="D111" s="417"/>
      <c r="E111" s="417"/>
      <c r="F111" s="411" t="s">
        <v>228</v>
      </c>
      <c r="G111" s="411" t="s">
        <v>228</v>
      </c>
      <c r="H111" s="694" t="s">
        <v>252</v>
      </c>
      <c r="I111" s="695"/>
      <c r="J111" s="695"/>
      <c r="K111" s="696"/>
      <c r="L111" s="384"/>
    </row>
    <row r="112" spans="1:13" s="366" customFormat="1" ht="30" customHeight="1" x14ac:dyDescent="0.35">
      <c r="A112" s="416" t="s">
        <v>250</v>
      </c>
      <c r="B112" s="414" t="s">
        <v>254</v>
      </c>
      <c r="C112" s="415" t="s">
        <v>232</v>
      </c>
      <c r="D112" s="411" t="s">
        <v>228</v>
      </c>
      <c r="E112" s="411" t="s">
        <v>228</v>
      </c>
      <c r="F112" s="411" t="s">
        <v>228</v>
      </c>
      <c r="G112" s="411" t="s">
        <v>228</v>
      </c>
      <c r="H112" s="694" t="s">
        <v>252</v>
      </c>
      <c r="I112" s="695"/>
      <c r="J112" s="695"/>
      <c r="K112" s="696"/>
      <c r="L112" s="384"/>
    </row>
    <row r="113" spans="1:13" s="366" customFormat="1" x14ac:dyDescent="0.35">
      <c r="A113" s="416"/>
      <c r="B113" s="418" t="s">
        <v>255</v>
      </c>
      <c r="C113" s="419"/>
      <c r="D113" s="419"/>
      <c r="E113" s="419"/>
      <c r="F113" s="419"/>
      <c r="G113" s="419"/>
      <c r="H113" s="419"/>
      <c r="I113" s="419"/>
      <c r="J113" s="419"/>
      <c r="K113" s="419"/>
      <c r="L113" s="384"/>
    </row>
    <row r="114" spans="1:13" s="366" customFormat="1" ht="36" x14ac:dyDescent="0.35">
      <c r="A114" s="416" t="s">
        <v>256</v>
      </c>
      <c r="B114" s="414" t="s">
        <v>257</v>
      </c>
      <c r="C114" s="415" t="s">
        <v>232</v>
      </c>
      <c r="D114" s="411" t="s">
        <v>228</v>
      </c>
      <c r="E114" s="411" t="s">
        <v>228</v>
      </c>
      <c r="F114" s="417"/>
      <c r="G114" s="417"/>
      <c r="H114" s="691" t="s">
        <v>258</v>
      </c>
      <c r="I114" s="692"/>
      <c r="J114" s="692"/>
      <c r="K114" s="693"/>
      <c r="L114" s="384"/>
    </row>
    <row r="115" spans="1:13" s="366" customFormat="1" ht="36" x14ac:dyDescent="0.35">
      <c r="A115" s="416" t="s">
        <v>256</v>
      </c>
      <c r="B115" s="414" t="s">
        <v>259</v>
      </c>
      <c r="C115" s="415" t="s">
        <v>232</v>
      </c>
      <c r="D115" s="417"/>
      <c r="E115" s="417"/>
      <c r="F115" s="411" t="s">
        <v>228</v>
      </c>
      <c r="G115" s="411" t="s">
        <v>228</v>
      </c>
      <c r="H115" s="691" t="s">
        <v>258</v>
      </c>
      <c r="I115" s="692"/>
      <c r="J115" s="692"/>
      <c r="K115" s="693"/>
      <c r="L115" s="384"/>
    </row>
    <row r="116" spans="1:13" s="366" customFormat="1" x14ac:dyDescent="0.35">
      <c r="B116" s="392"/>
      <c r="C116" s="392"/>
      <c r="D116" s="392"/>
      <c r="E116" s="392"/>
      <c r="F116" s="392"/>
      <c r="G116" s="392"/>
      <c r="H116" s="392"/>
      <c r="I116" s="392"/>
      <c r="J116" s="392"/>
      <c r="K116" s="392"/>
      <c r="L116" s="392"/>
    </row>
    <row r="117" spans="1:13" s="366" customFormat="1" ht="30.6" customHeight="1" x14ac:dyDescent="0.35">
      <c r="B117" s="666" t="s">
        <v>570</v>
      </c>
      <c r="C117" s="666"/>
      <c r="D117" s="666"/>
      <c r="E117" s="666"/>
      <c r="F117" s="666"/>
      <c r="G117" s="666"/>
      <c r="H117" s="666"/>
      <c r="I117" s="666"/>
      <c r="J117" s="666"/>
      <c r="K117" s="666"/>
      <c r="L117" s="666"/>
      <c r="M117" s="666"/>
    </row>
    <row r="118" spans="1:13" s="366" customFormat="1" ht="100.5" customHeight="1" x14ac:dyDescent="0.35">
      <c r="B118" s="666" t="s">
        <v>571</v>
      </c>
      <c r="C118" s="666"/>
      <c r="D118" s="666"/>
      <c r="E118" s="666"/>
      <c r="F118" s="666"/>
      <c r="G118" s="666"/>
      <c r="H118" s="666"/>
      <c r="I118" s="666"/>
      <c r="J118" s="666"/>
      <c r="K118" s="666"/>
      <c r="L118" s="666"/>
      <c r="M118" s="666"/>
    </row>
    <row r="119" spans="1:13" s="366" customFormat="1" ht="65.099999999999994" customHeight="1" x14ac:dyDescent="0.35">
      <c r="B119" s="666" t="s">
        <v>572</v>
      </c>
      <c r="C119" s="666"/>
      <c r="D119" s="666"/>
      <c r="E119" s="666"/>
      <c r="F119" s="666"/>
      <c r="G119" s="666"/>
      <c r="H119" s="666"/>
      <c r="I119" s="666"/>
      <c r="J119" s="666"/>
      <c r="K119" s="666"/>
      <c r="L119" s="666"/>
      <c r="M119" s="666"/>
    </row>
    <row r="120" spans="1:13" s="366" customFormat="1" ht="139.05000000000001" customHeight="1" x14ac:dyDescent="0.35">
      <c r="B120" s="666" t="s">
        <v>573</v>
      </c>
      <c r="C120" s="666"/>
      <c r="D120" s="666"/>
      <c r="E120" s="666"/>
      <c r="F120" s="666"/>
      <c r="G120" s="666"/>
      <c r="H120" s="666"/>
      <c r="I120" s="666"/>
      <c r="J120" s="666"/>
      <c r="K120" s="666"/>
      <c r="L120" s="666"/>
      <c r="M120" s="666"/>
    </row>
    <row r="121" spans="1:13" s="366" customFormat="1" x14ac:dyDescent="0.35">
      <c r="B121" s="668" t="s">
        <v>574</v>
      </c>
      <c r="C121" s="666"/>
      <c r="D121" s="666"/>
      <c r="E121" s="666"/>
      <c r="F121" s="666"/>
      <c r="G121" s="666"/>
      <c r="H121" s="666"/>
      <c r="I121" s="666"/>
      <c r="J121" s="666"/>
      <c r="K121" s="666"/>
      <c r="L121" s="666"/>
      <c r="M121" s="666"/>
    </row>
    <row r="122" spans="1:13" s="366" customFormat="1" x14ac:dyDescent="0.35">
      <c r="B122" s="392"/>
      <c r="C122" s="392"/>
      <c r="D122" s="392"/>
      <c r="E122" s="392"/>
      <c r="F122" s="392"/>
      <c r="G122" s="392"/>
      <c r="H122" s="392"/>
      <c r="I122" s="392"/>
      <c r="J122" s="392"/>
      <c r="K122" s="392"/>
      <c r="L122" s="392"/>
    </row>
    <row r="123" spans="1:13" s="366" customFormat="1" ht="15" customHeight="1" x14ac:dyDescent="0.35">
      <c r="A123" s="669" t="s">
        <v>260</v>
      </c>
      <c r="B123" s="669"/>
      <c r="C123" s="669"/>
      <c r="D123" s="669"/>
      <c r="E123" s="669"/>
      <c r="F123" s="669"/>
      <c r="G123" s="669"/>
      <c r="H123" s="669"/>
      <c r="I123" s="669"/>
      <c r="J123" s="669"/>
      <c r="K123" s="669"/>
      <c r="L123" s="669"/>
      <c r="M123" s="669"/>
    </row>
    <row r="124" spans="1:13" s="366" customFormat="1" ht="33.75" customHeight="1" x14ac:dyDescent="0.35">
      <c r="A124" s="666" t="s">
        <v>575</v>
      </c>
      <c r="B124" s="666"/>
      <c r="C124" s="666"/>
      <c r="D124" s="666"/>
      <c r="E124" s="666"/>
      <c r="F124" s="666"/>
      <c r="G124" s="666"/>
      <c r="H124" s="666"/>
      <c r="I124" s="666"/>
      <c r="J124" s="666"/>
      <c r="K124" s="666"/>
      <c r="L124" s="666"/>
      <c r="M124" s="666"/>
    </row>
    <row r="125" spans="1:13" s="366" customFormat="1" ht="15" customHeight="1" x14ac:dyDescent="0.35">
      <c r="A125" s="669" t="s">
        <v>576</v>
      </c>
      <c r="B125" s="669"/>
      <c r="C125" s="669"/>
      <c r="D125" s="669"/>
      <c r="E125" s="669"/>
      <c r="F125" s="669"/>
      <c r="G125" s="669"/>
      <c r="H125" s="669"/>
      <c r="I125" s="669"/>
      <c r="J125" s="669"/>
      <c r="K125" s="669"/>
      <c r="L125" s="669"/>
      <c r="M125" s="669"/>
    </row>
    <row r="126" spans="1:13" s="366" customFormat="1" x14ac:dyDescent="0.35">
      <c r="A126" s="666" t="s">
        <v>261</v>
      </c>
      <c r="B126" s="666"/>
      <c r="C126" s="666"/>
      <c r="D126" s="666"/>
      <c r="E126" s="666"/>
      <c r="F126" s="666"/>
      <c r="G126" s="666"/>
      <c r="H126" s="666"/>
      <c r="I126" s="666"/>
      <c r="J126" s="666"/>
      <c r="K126" s="666"/>
      <c r="L126" s="666"/>
      <c r="M126" s="666"/>
    </row>
    <row r="127" spans="1:13" s="366" customFormat="1" x14ac:dyDescent="0.35">
      <c r="B127" s="386"/>
      <c r="C127" s="386"/>
      <c r="D127" s="386"/>
      <c r="E127" s="386"/>
      <c r="F127" s="386"/>
      <c r="G127" s="386"/>
      <c r="H127" s="386"/>
      <c r="I127" s="420"/>
      <c r="J127" s="420"/>
      <c r="K127" s="420"/>
      <c r="L127" s="420"/>
      <c r="M127" s="420"/>
    </row>
    <row r="128" spans="1:13" s="366" customFormat="1" x14ac:dyDescent="0.35">
      <c r="A128" s="667" t="s">
        <v>262</v>
      </c>
      <c r="B128" s="667"/>
      <c r="C128" s="667"/>
      <c r="D128" s="667"/>
      <c r="E128" s="667"/>
      <c r="F128" s="667"/>
      <c r="G128" s="667"/>
      <c r="H128" s="667"/>
      <c r="I128" s="667"/>
      <c r="J128" s="667"/>
      <c r="K128" s="667"/>
      <c r="L128" s="667"/>
      <c r="M128" s="667"/>
    </row>
    <row r="129" s="366" customFormat="1" x14ac:dyDescent="0.35"/>
    <row r="130" s="366" customFormat="1" x14ac:dyDescent="0.35"/>
    <row r="131" s="366" customFormat="1" x14ac:dyDescent="0.35"/>
    <row r="132" s="366" customFormat="1" x14ac:dyDescent="0.35"/>
    <row r="133" s="366" customFormat="1" x14ac:dyDescent="0.35"/>
    <row r="134" s="366" customFormat="1" x14ac:dyDescent="0.35"/>
    <row r="135" s="366" customFormat="1" x14ac:dyDescent="0.35"/>
    <row r="136" s="366" customFormat="1" x14ac:dyDescent="0.35"/>
    <row r="137" s="366" customFormat="1" x14ac:dyDescent="0.35"/>
    <row r="138" s="366" customFormat="1" x14ac:dyDescent="0.35"/>
    <row r="139" s="366" customFormat="1" x14ac:dyDescent="0.35"/>
    <row r="140" s="366" customFormat="1" x14ac:dyDescent="0.35"/>
    <row r="141" s="366" customFormat="1" x14ac:dyDescent="0.35"/>
    <row r="142" s="366" customFormat="1" x14ac:dyDescent="0.35"/>
    <row r="143" s="366" customFormat="1" x14ac:dyDescent="0.35"/>
    <row r="144" s="366" customFormat="1" x14ac:dyDescent="0.35"/>
    <row r="145" s="366" customFormat="1" x14ac:dyDescent="0.35"/>
    <row r="146" s="366" customFormat="1" x14ac:dyDescent="0.35"/>
    <row r="147" s="366" customFormat="1" x14ac:dyDescent="0.35"/>
    <row r="148" s="366" customFormat="1" x14ac:dyDescent="0.35"/>
    <row r="149" s="366" customFormat="1" x14ac:dyDescent="0.35"/>
    <row r="150" s="366" customFormat="1" x14ac:dyDescent="0.35"/>
    <row r="151" s="366" customFormat="1" x14ac:dyDescent="0.35"/>
    <row r="152" s="366" customFormat="1" x14ac:dyDescent="0.35"/>
    <row r="153" s="366" customFormat="1" x14ac:dyDescent="0.35"/>
    <row r="154" s="366" customFormat="1" x14ac:dyDescent="0.35"/>
    <row r="155" s="366" customFormat="1" x14ac:dyDescent="0.35"/>
    <row r="156" s="366" customFormat="1" x14ac:dyDescent="0.35"/>
    <row r="157" s="366" customFormat="1" x14ac:dyDescent="0.35"/>
    <row r="158" s="366" customFormat="1" x14ac:dyDescent="0.35"/>
    <row r="159" s="366" customFormat="1" x14ac:dyDescent="0.35"/>
    <row r="160" s="366" customFormat="1" x14ac:dyDescent="0.35"/>
    <row r="161" s="366" customFormat="1" x14ac:dyDescent="0.35"/>
  </sheetData>
  <sheetProtection algorithmName="SHA-512" hashValue="coPUEmq9zzdWNpfoegtPvYjYBNIoOs+6wxZ0QYajWRQNzkjqEXvYY5y3zDZd8vkSojrMkdC/SVQyUoreBWCMdg==" saltValue="sU1p/6pcsx+wG8yYPSxFaA==" spinCount="100000" sheet="1" objects="1" scenarios="1"/>
  <mergeCells count="95">
    <mergeCell ref="A28:L28"/>
    <mergeCell ref="A17:L17"/>
    <mergeCell ref="A19:L19"/>
    <mergeCell ref="A20:L20"/>
    <mergeCell ref="A21:L21"/>
    <mergeCell ref="A22:L22"/>
    <mergeCell ref="A23:L23"/>
    <mergeCell ref="N23:Y23"/>
    <mergeCell ref="A24:L24"/>
    <mergeCell ref="A25:L25"/>
    <mergeCell ref="A26:L26"/>
    <mergeCell ref="A27:L27"/>
    <mergeCell ref="A29:L29"/>
    <mergeCell ref="A30:L30"/>
    <mergeCell ref="A31:L31"/>
    <mergeCell ref="D33:G33"/>
    <mergeCell ref="H33:K33"/>
    <mergeCell ref="L33:O33"/>
    <mergeCell ref="P33:S33"/>
    <mergeCell ref="T33:W33"/>
    <mergeCell ref="A35:A52"/>
    <mergeCell ref="B35:B36"/>
    <mergeCell ref="B37:B38"/>
    <mergeCell ref="B39:B40"/>
    <mergeCell ref="B41:B42"/>
    <mergeCell ref="B43:B44"/>
    <mergeCell ref="B45:B46"/>
    <mergeCell ref="B47:B48"/>
    <mergeCell ref="B49:B50"/>
    <mergeCell ref="B51:B52"/>
    <mergeCell ref="AB55:AE55"/>
    <mergeCell ref="AF55:AI55"/>
    <mergeCell ref="A57:A64"/>
    <mergeCell ref="B57:B58"/>
    <mergeCell ref="B59:B60"/>
    <mergeCell ref="B61:B62"/>
    <mergeCell ref="B63:B64"/>
    <mergeCell ref="P55:S55"/>
    <mergeCell ref="D55:G55"/>
    <mergeCell ref="H55:K55"/>
    <mergeCell ref="L55:O55"/>
    <mergeCell ref="T55:W55"/>
    <mergeCell ref="X55:AA55"/>
    <mergeCell ref="A86:M86"/>
    <mergeCell ref="A69:A76"/>
    <mergeCell ref="B69:B70"/>
    <mergeCell ref="B71:B72"/>
    <mergeCell ref="B73:B74"/>
    <mergeCell ref="B75:B76"/>
    <mergeCell ref="A80:M80"/>
    <mergeCell ref="A81:M81"/>
    <mergeCell ref="A82:M82"/>
    <mergeCell ref="A83:M83"/>
    <mergeCell ref="A84:M84"/>
    <mergeCell ref="A85:M85"/>
    <mergeCell ref="H103:K103"/>
    <mergeCell ref="B88:K88"/>
    <mergeCell ref="H90:K90"/>
    <mergeCell ref="H91:K91"/>
    <mergeCell ref="H92:K92"/>
    <mergeCell ref="H93:K93"/>
    <mergeCell ref="H94:K94"/>
    <mergeCell ref="H95:K95"/>
    <mergeCell ref="H96:K96"/>
    <mergeCell ref="B99:K99"/>
    <mergeCell ref="B100:K100"/>
    <mergeCell ref="B101:G101"/>
    <mergeCell ref="B118:M118"/>
    <mergeCell ref="H104:K104"/>
    <mergeCell ref="H105:K105"/>
    <mergeCell ref="H106:K106"/>
    <mergeCell ref="H107:K107"/>
    <mergeCell ref="H108:K108"/>
    <mergeCell ref="H110:K110"/>
    <mergeCell ref="H111:K111"/>
    <mergeCell ref="H112:K112"/>
    <mergeCell ref="H114:K114"/>
    <mergeCell ref="H115:K115"/>
    <mergeCell ref="B117:M117"/>
    <mergeCell ref="B2:C2"/>
    <mergeCell ref="D2:M2"/>
    <mergeCell ref="B3:C5"/>
    <mergeCell ref="D6:M6"/>
    <mergeCell ref="D7:M7"/>
    <mergeCell ref="D3:M5"/>
    <mergeCell ref="B6:C6"/>
    <mergeCell ref="B7:C7"/>
    <mergeCell ref="A126:M126"/>
    <mergeCell ref="A128:M128"/>
    <mergeCell ref="B119:M119"/>
    <mergeCell ref="B120:M120"/>
    <mergeCell ref="B121:M121"/>
    <mergeCell ref="A123:M123"/>
    <mergeCell ref="A124:M124"/>
    <mergeCell ref="A125:M125"/>
  </mergeCells>
  <conditionalFormatting sqref="D106:E106">
    <cfRule type="expression" dxfId="6" priority="5">
      <formula>IF(D106="",TRUE,FALSE)</formula>
    </cfRule>
  </conditionalFormatting>
  <conditionalFormatting sqref="D111:E111">
    <cfRule type="expression" dxfId="5" priority="2">
      <formula>IF(D111="",TRUE,FALSE)</formula>
    </cfRule>
  </conditionalFormatting>
  <conditionalFormatting sqref="D115:E115">
    <cfRule type="expression" dxfId="4" priority="4">
      <formula>IF(D115="",TRUE,FALSE)</formula>
    </cfRule>
  </conditionalFormatting>
  <conditionalFormatting sqref="D35:W52">
    <cfRule type="expression" dxfId="3" priority="1">
      <formula>IF(D35="",TRUE,FALSE)</formula>
    </cfRule>
  </conditionalFormatting>
  <conditionalFormatting sqref="F105:G105">
    <cfRule type="expression" dxfId="2" priority="7">
      <formula>IF(F105="",TRUE,FALSE)</formula>
    </cfRule>
  </conditionalFormatting>
  <conditionalFormatting sqref="F110:G110">
    <cfRule type="expression" dxfId="1" priority="3">
      <formula>IF(F110="",TRUE,FALSE)</formula>
    </cfRule>
  </conditionalFormatting>
  <conditionalFormatting sqref="F114:G114">
    <cfRule type="expression" dxfId="0" priority="6">
      <formula>IF(F114="",TRUE,FALSE)</formula>
    </cfRule>
  </conditionalFormatting>
  <hyperlinks>
    <hyperlink ref="A12" location="Index!A1" display="Index" xr:uid="{497BC9FC-914A-46E4-97C0-9CD20B07E57B}"/>
    <hyperlink ref="A21:L21" location="'Outside of scopes'!A1" display="●  For vehicles run on biofuels, please refer to the ‘bioenergy’ conversion factors – note any vehicle run on biofuel should also have an ‘outside of scopes’ CO2 figure reported separately. See the &quot;Uutside of scopes&quot; tab for more detail." xr:uid="{2450FB0F-E797-4F26-AD4F-224169B8A5B4}"/>
    <hyperlink ref="A23:L23" location="'Business travel- land'!A1" display="●  Where a vehicle is used by an organisation, but it isn't owned by the organisation, then the emissions from the vehicle can be reported in Scope 3 instead of Scope 1, using the same factors.  These factors can also be found in the Scope 3 under ‘busine" xr:uid="{665DF9F1-96B1-4818-8118-58EDFAF097F9}"/>
    <hyperlink ref="D3:M5" r:id="rId1" display="Greenhouse gas reporting: conversion factors 2023" xr:uid="{6879ADC7-9AFC-4F54-8872-0F33C1C9FD67}"/>
  </hyperlinks>
  <pageMargins left="0.7" right="0.7" top="0.75" bottom="0.75" header="0.3" footer="0.3"/>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64C26-4ED7-4C70-8DE0-A377CEF84834}">
  <sheetPr>
    <tabColor theme="5" tint="0.59999389629810485"/>
  </sheetPr>
  <dimension ref="A2:Z34"/>
  <sheetViews>
    <sheetView showGridLines="0" topLeftCell="A12" zoomScale="98" zoomScaleNormal="98" workbookViewId="0">
      <selection activeCell="D9" sqref="D9"/>
    </sheetView>
  </sheetViews>
  <sheetFormatPr defaultRowHeight="18" x14ac:dyDescent="0.35"/>
  <cols>
    <col min="1" max="1" width="39.5546875" style="19" customWidth="1"/>
    <col min="2" max="11" width="9.5546875" style="19" bestFit="1" customWidth="1"/>
    <col min="12" max="12" width="8.77734375" style="19" customWidth="1"/>
    <col min="13" max="13" width="12.44140625" style="19" customWidth="1"/>
    <col min="14" max="24" width="9.5546875" style="19" bestFit="1" customWidth="1"/>
    <col min="25" max="25" width="18.44140625" style="19" bestFit="1" customWidth="1"/>
    <col min="26" max="26" width="9.5546875" style="19" bestFit="1" customWidth="1"/>
    <col min="27" max="16384" width="8.88671875" style="19"/>
  </cols>
  <sheetData>
    <row r="2" spans="1:26" x14ac:dyDescent="0.35">
      <c r="A2" s="642" t="s">
        <v>57</v>
      </c>
      <c r="B2" s="721"/>
      <c r="C2" s="722" t="s">
        <v>263</v>
      </c>
      <c r="D2" s="723"/>
      <c r="E2" s="723"/>
      <c r="F2" s="723"/>
      <c r="G2" s="723"/>
      <c r="H2" s="723"/>
      <c r="I2" s="723"/>
      <c r="J2" s="723"/>
      <c r="K2" s="723"/>
      <c r="L2" s="723"/>
      <c r="M2" s="723"/>
    </row>
    <row r="3" spans="1:26" x14ac:dyDescent="0.35">
      <c r="A3" s="642" t="s">
        <v>59</v>
      </c>
      <c r="B3" s="721"/>
      <c r="C3" s="682" t="s">
        <v>133</v>
      </c>
      <c r="D3" s="683"/>
      <c r="E3" s="683"/>
      <c r="F3" s="683"/>
      <c r="G3" s="683"/>
      <c r="H3" s="683"/>
      <c r="I3" s="683"/>
      <c r="J3" s="683"/>
      <c r="K3" s="683"/>
      <c r="L3" s="683"/>
      <c r="M3" s="683"/>
    </row>
    <row r="4" spans="1:26" x14ac:dyDescent="0.35">
      <c r="A4" s="597" t="s">
        <v>60</v>
      </c>
      <c r="B4" s="598"/>
      <c r="C4" s="722">
        <v>2023</v>
      </c>
      <c r="D4" s="723"/>
      <c r="E4" s="723"/>
      <c r="F4" s="723"/>
      <c r="G4" s="723"/>
      <c r="H4" s="723"/>
      <c r="I4" s="723"/>
      <c r="J4" s="723"/>
      <c r="K4" s="723"/>
      <c r="L4" s="723"/>
      <c r="M4" s="723"/>
    </row>
    <row r="5" spans="1:26" x14ac:dyDescent="0.35">
      <c r="A5" s="597" t="s">
        <v>62</v>
      </c>
      <c r="B5" s="598"/>
      <c r="C5" s="722" t="s">
        <v>489</v>
      </c>
      <c r="D5" s="723"/>
      <c r="E5" s="723"/>
      <c r="F5" s="723"/>
      <c r="G5" s="723"/>
      <c r="H5" s="723"/>
      <c r="I5" s="723"/>
      <c r="J5" s="723"/>
      <c r="K5" s="723"/>
      <c r="L5" s="723"/>
      <c r="M5" s="723"/>
    </row>
    <row r="7" spans="1:26" x14ac:dyDescent="0.35">
      <c r="M7" s="421"/>
      <c r="N7" s="421"/>
      <c r="O7" s="421"/>
      <c r="P7" s="421"/>
      <c r="Q7" s="421"/>
      <c r="R7" s="421"/>
      <c r="S7" s="421"/>
      <c r="T7" s="421"/>
      <c r="U7" s="421"/>
      <c r="V7" s="421"/>
      <c r="W7" s="421"/>
      <c r="X7" s="421"/>
      <c r="Y7" s="421"/>
      <c r="Z7" s="421"/>
    </row>
    <row r="11" spans="1:26" ht="21.6" thickBot="1" x14ac:dyDescent="0.5">
      <c r="A11" s="422" t="s">
        <v>577</v>
      </c>
      <c r="B11" s="421"/>
      <c r="C11" s="421"/>
      <c r="D11" s="421"/>
      <c r="E11" s="421"/>
      <c r="F11" s="421"/>
      <c r="G11" s="421"/>
      <c r="H11" s="421"/>
      <c r="I11" s="421"/>
      <c r="J11" s="421"/>
      <c r="K11" s="421"/>
      <c r="L11" s="421"/>
    </row>
    <row r="12" spans="1:26" ht="18.600000000000001" thickBot="1" x14ac:dyDescent="0.4">
      <c r="A12" s="423" t="s">
        <v>264</v>
      </c>
      <c r="B12" s="424">
        <v>1990</v>
      </c>
      <c r="C12" s="424">
        <v>1995</v>
      </c>
      <c r="D12" s="425">
        <v>1998</v>
      </c>
      <c r="E12" s="424">
        <v>1999</v>
      </c>
      <c r="F12" s="424">
        <v>2000</v>
      </c>
      <c r="G12" s="424">
        <v>2001</v>
      </c>
      <c r="H12" s="424">
        <v>2002</v>
      </c>
      <c r="I12" s="424">
        <v>2003</v>
      </c>
      <c r="J12" s="424">
        <v>2004</v>
      </c>
      <c r="K12" s="424">
        <v>2005</v>
      </c>
      <c r="L12" s="424">
        <v>2006</v>
      </c>
      <c r="M12" s="424">
        <v>2007</v>
      </c>
      <c r="N12" s="424">
        <v>2008</v>
      </c>
      <c r="O12" s="424">
        <v>2009</v>
      </c>
      <c r="P12" s="424">
        <v>2010</v>
      </c>
      <c r="Q12" s="424">
        <v>2011</v>
      </c>
      <c r="R12" s="424">
        <v>2012</v>
      </c>
      <c r="S12" s="424">
        <v>2013</v>
      </c>
      <c r="T12" s="424">
        <v>2014</v>
      </c>
      <c r="U12" s="424">
        <v>2015</v>
      </c>
      <c r="V12" s="424">
        <v>2016</v>
      </c>
      <c r="W12" s="424">
        <v>2017</v>
      </c>
      <c r="X12" s="424">
        <v>2018</v>
      </c>
      <c r="Y12" s="424">
        <v>2019</v>
      </c>
      <c r="Z12" s="424">
        <v>2020</v>
      </c>
    </row>
    <row r="13" spans="1:26" x14ac:dyDescent="0.35">
      <c r="A13" s="426" t="s">
        <v>265</v>
      </c>
      <c r="B13" s="427">
        <v>0.59246625963328925</v>
      </c>
      <c r="C13" s="428">
        <v>0.60389936911385711</v>
      </c>
      <c r="D13" s="428">
        <v>0.60241710419116401</v>
      </c>
      <c r="E13" s="429">
        <v>0.5864868691538091</v>
      </c>
      <c r="F13" s="429">
        <v>0.55447201809174107</v>
      </c>
      <c r="G13" s="429">
        <v>0.55486733752093764</v>
      </c>
      <c r="H13" s="429">
        <v>0.57208137141683379</v>
      </c>
      <c r="I13" s="429">
        <v>0.58336893124038114</v>
      </c>
      <c r="J13" s="429">
        <v>0.53300668342886715</v>
      </c>
      <c r="K13" s="429">
        <v>0.53319459313333817</v>
      </c>
      <c r="L13" s="429">
        <v>0.542161284527922</v>
      </c>
      <c r="M13" s="430">
        <v>0.57018882505145274</v>
      </c>
      <c r="N13" s="429">
        <v>0.52197433679382377</v>
      </c>
      <c r="O13" s="429">
        <v>0.52670147551380064</v>
      </c>
      <c r="P13" s="429">
        <v>0.54225478929590665</v>
      </c>
      <c r="Q13" s="429">
        <v>0.49838713256523709</v>
      </c>
      <c r="R13" s="429">
        <v>0.47928843303569257</v>
      </c>
      <c r="S13" s="429">
        <v>0.48581999404261828</v>
      </c>
      <c r="T13" s="429">
        <v>0.47909866834068171</v>
      </c>
      <c r="U13" s="429">
        <v>0.46383298591683275</v>
      </c>
      <c r="V13" s="429">
        <v>0.44550400233184212</v>
      </c>
      <c r="W13" s="429">
        <v>0.46056029841807034</v>
      </c>
      <c r="X13" s="429">
        <v>0.39208155019017848</v>
      </c>
      <c r="Y13" s="429">
        <v>0.43159508003922586</v>
      </c>
      <c r="Z13" s="429">
        <v>0.33274408775192732</v>
      </c>
    </row>
    <row r="14" spans="1:26" x14ac:dyDescent="0.35">
      <c r="A14" s="426" t="s">
        <v>266</v>
      </c>
      <c r="B14" s="431">
        <v>5.748497657829331</v>
      </c>
      <c r="C14" s="428">
        <v>5.7899861317253549</v>
      </c>
      <c r="D14" s="428">
        <v>5.9886273313105463</v>
      </c>
      <c r="E14" s="428">
        <v>6.0658327674502264</v>
      </c>
      <c r="F14" s="428">
        <v>6.0403911298868422</v>
      </c>
      <c r="G14" s="428">
        <v>6.0281178640451953</v>
      </c>
      <c r="H14" s="428">
        <v>6.2360173649462345</v>
      </c>
      <c r="I14" s="428">
        <v>6.1608855896216603</v>
      </c>
      <c r="J14" s="428">
        <v>6.2056396740645496</v>
      </c>
      <c r="K14" s="428">
        <v>6.2004650196017224</v>
      </c>
      <c r="L14" s="428">
        <v>6.2631915392573552</v>
      </c>
      <c r="M14" s="432">
        <v>6.2860478341010761</v>
      </c>
      <c r="N14" s="428">
        <v>6.1232991478224612</v>
      </c>
      <c r="O14" s="428">
        <v>5.9531136669806921</v>
      </c>
      <c r="P14" s="428">
        <v>5.7078313765349389</v>
      </c>
      <c r="Q14" s="428">
        <v>5.6000931615538008</v>
      </c>
      <c r="R14" s="428">
        <v>5.5921695806244083</v>
      </c>
      <c r="S14" s="428">
        <v>5.4822257320528003</v>
      </c>
      <c r="T14" s="428">
        <v>5.4744152477178663</v>
      </c>
      <c r="U14" s="428">
        <v>5.4796914772365763</v>
      </c>
      <c r="V14" s="428">
        <v>5.5549689896778602</v>
      </c>
      <c r="W14" s="428">
        <v>5.6432319360779628</v>
      </c>
      <c r="X14" s="428">
        <v>5.5201480957016038</v>
      </c>
      <c r="Y14" s="428">
        <v>5.37</v>
      </c>
      <c r="Z14" s="428">
        <v>3.9432836112362937</v>
      </c>
    </row>
    <row r="15" spans="1:26" x14ac:dyDescent="0.35">
      <c r="A15" s="426" t="s">
        <v>267</v>
      </c>
      <c r="B15" s="431">
        <v>1.8561162381743972</v>
      </c>
      <c r="C15" s="428">
        <v>1.8118808305040532</v>
      </c>
      <c r="D15" s="428">
        <v>1.8300333420149861</v>
      </c>
      <c r="E15" s="428">
        <v>1.7860225964727154</v>
      </c>
      <c r="F15" s="428">
        <v>1.7415791024233962</v>
      </c>
      <c r="G15" s="428">
        <v>1.7181304807975315</v>
      </c>
      <c r="H15" s="428">
        <v>1.7335638871769752</v>
      </c>
      <c r="I15" s="428">
        <v>1.8004647433692138</v>
      </c>
      <c r="J15" s="428">
        <v>1.8536606845130674</v>
      </c>
      <c r="K15" s="428">
        <v>1.9127147134721727</v>
      </c>
      <c r="L15" s="428">
        <v>1.9646260909547413</v>
      </c>
      <c r="M15" s="432">
        <v>2.0098052243523488</v>
      </c>
      <c r="N15" s="428">
        <v>1.8939082264778393</v>
      </c>
      <c r="O15" s="428">
        <v>1.7564028450384894</v>
      </c>
      <c r="P15" s="428">
        <v>1.7861755224356888</v>
      </c>
      <c r="Q15" s="428">
        <v>1.7246787845271994</v>
      </c>
      <c r="R15" s="428">
        <v>1.7416178968022118</v>
      </c>
      <c r="S15" s="428">
        <v>1.7328166758635524</v>
      </c>
      <c r="T15" s="428">
        <v>1.7098138303150554</v>
      </c>
      <c r="U15" s="428">
        <v>1.7444745756920135</v>
      </c>
      <c r="V15" s="428">
        <v>1.8058687220100942</v>
      </c>
      <c r="W15" s="428">
        <v>1.8557726326308308</v>
      </c>
      <c r="X15" s="428">
        <v>1.8179664295414022</v>
      </c>
      <c r="Y15" s="428">
        <v>1.7393314993495399</v>
      </c>
      <c r="Z15" s="428">
        <v>1.5217597746566707</v>
      </c>
    </row>
    <row r="16" spans="1:26" x14ac:dyDescent="0.35">
      <c r="A16" s="426" t="s">
        <v>268</v>
      </c>
      <c r="B16" s="431">
        <v>0.93072484935600452</v>
      </c>
      <c r="C16" s="428">
        <v>0.99974825762108677</v>
      </c>
      <c r="D16" s="428">
        <v>1.1407133977152817</v>
      </c>
      <c r="E16" s="428">
        <v>1.1374970490736545</v>
      </c>
      <c r="F16" s="428">
        <v>1.1041634275728893</v>
      </c>
      <c r="G16" s="428">
        <v>1.0908332034232213</v>
      </c>
      <c r="H16" s="428">
        <v>1.1154193986980045</v>
      </c>
      <c r="I16" s="428">
        <v>1.1512216778293001</v>
      </c>
      <c r="J16" s="428">
        <v>1.1808956308300667</v>
      </c>
      <c r="K16" s="428">
        <v>1.2238163121733001</v>
      </c>
      <c r="L16" s="428">
        <v>1.2674249149110588</v>
      </c>
      <c r="M16" s="432">
        <v>1.3311326746179402</v>
      </c>
      <c r="N16" s="428">
        <v>1.2725959249992078</v>
      </c>
      <c r="O16" s="428">
        <v>1.255104000705487</v>
      </c>
      <c r="P16" s="428">
        <v>1.2830860114280338</v>
      </c>
      <c r="Q16" s="428">
        <v>1.2793526004683906</v>
      </c>
      <c r="R16" s="428">
        <v>1.2945753344817601</v>
      </c>
      <c r="S16" s="428">
        <v>1.3121910694225893</v>
      </c>
      <c r="T16" s="428">
        <v>1.3704693688006762</v>
      </c>
      <c r="U16" s="428">
        <v>1.440637912886896</v>
      </c>
      <c r="V16" s="428">
        <v>1.5600216868684982</v>
      </c>
      <c r="W16" s="428">
        <v>1.6716382938164893</v>
      </c>
      <c r="X16" s="428">
        <v>1.6351732114279782</v>
      </c>
      <c r="Y16" s="428">
        <v>1.5705489637249086</v>
      </c>
      <c r="Z16" s="428">
        <v>1.3928291046809451</v>
      </c>
    </row>
    <row r="17" spans="1:26" x14ac:dyDescent="0.35">
      <c r="A17" s="426" t="s">
        <v>269</v>
      </c>
      <c r="B17" s="431">
        <v>3.7490543664836826E-2</v>
      </c>
      <c r="C17" s="428">
        <v>2.6273752986518708E-2</v>
      </c>
      <c r="D17" s="428">
        <v>2.8996249347237588E-2</v>
      </c>
      <c r="E17" s="428">
        <v>3.2479806142595234E-2</v>
      </c>
      <c r="F17" s="428">
        <v>3.3048927397059551E-2</v>
      </c>
      <c r="G17" s="428">
        <v>3.3688861756624638E-2</v>
      </c>
      <c r="H17" s="428">
        <v>3.7441969620479368E-2</v>
      </c>
      <c r="I17" s="428">
        <v>4.1408883592150454E-2</v>
      </c>
      <c r="J17" s="428">
        <v>3.8738604460915926E-2</v>
      </c>
      <c r="K17" s="428">
        <v>3.9071810358566661E-2</v>
      </c>
      <c r="L17" s="428">
        <v>3.6846867876207466E-2</v>
      </c>
      <c r="M17" s="432">
        <v>4.0531762836708389E-2</v>
      </c>
      <c r="N17" s="428">
        <v>3.928281288826261E-2</v>
      </c>
      <c r="O17" s="428">
        <v>3.8972267217594919E-2</v>
      </c>
      <c r="P17" s="428">
        <v>3.4452900304983568E-2</v>
      </c>
      <c r="Q17" s="428">
        <v>3.4414739731392904E-2</v>
      </c>
      <c r="R17" s="428">
        <v>3.358511915597498E-2</v>
      </c>
      <c r="S17" s="428">
        <v>3.2749241461897644E-2</v>
      </c>
      <c r="T17" s="428">
        <v>3.3559769469264832E-2</v>
      </c>
      <c r="U17" s="428">
        <v>3.3215433138335762E-2</v>
      </c>
      <c r="V17" s="428">
        <v>3.2263542955237555E-2</v>
      </c>
      <c r="W17" s="428">
        <v>3.3847485750538205E-2</v>
      </c>
      <c r="X17" s="428">
        <v>3.2811920096908254E-2</v>
      </c>
      <c r="Y17" s="428">
        <v>3.3044737697741203E-2</v>
      </c>
      <c r="Z17" s="428">
        <v>2.4886382137184269E-2</v>
      </c>
    </row>
    <row r="18" spans="1:26" ht="21" thickBot="1" x14ac:dyDescent="0.4">
      <c r="A18" s="433" t="s">
        <v>578</v>
      </c>
      <c r="B18" s="428">
        <v>1.56934278200371E-2</v>
      </c>
      <c r="C18" s="428">
        <v>1.6429519625163501E-2</v>
      </c>
      <c r="D18" s="428">
        <v>1.8646650983958665E-2</v>
      </c>
      <c r="E18" s="428">
        <v>2.0056386120716373E-2</v>
      </c>
      <c r="F18" s="428">
        <v>2.410922310162868E-2</v>
      </c>
      <c r="G18" s="428">
        <v>3.4051105604242224E-2</v>
      </c>
      <c r="H18" s="428">
        <v>4.4740478199133418E-2</v>
      </c>
      <c r="I18" s="428">
        <v>5.054945406000589E-2</v>
      </c>
      <c r="J18" s="428">
        <v>5.300593479832634E-2</v>
      </c>
      <c r="K18" s="428">
        <v>5.5898564536014501E-2</v>
      </c>
      <c r="L18" s="428">
        <v>5.9869693115947017E-2</v>
      </c>
      <c r="M18" s="432">
        <v>6.0163345354055077E-2</v>
      </c>
      <c r="N18" s="428">
        <v>6.8336064002822966E-2</v>
      </c>
      <c r="O18" s="428">
        <v>6.4997475129066534E-2</v>
      </c>
      <c r="P18" s="428">
        <v>6.483621876459203E-2</v>
      </c>
      <c r="Q18" s="428">
        <v>6.1057822965896416E-2</v>
      </c>
      <c r="R18" s="428">
        <v>5.9990075899074222E-2</v>
      </c>
      <c r="S18" s="428">
        <v>5.8430447203635022E-2</v>
      </c>
      <c r="T18" s="428">
        <v>5.8242270740892846E-2</v>
      </c>
      <c r="U18" s="428">
        <v>5.4709396590081047E-2</v>
      </c>
      <c r="V18" s="428">
        <v>5.2365410662964212E-2</v>
      </c>
      <c r="W18" s="428">
        <v>5.2145871499191296E-2</v>
      </c>
      <c r="X18" s="428">
        <v>5.9619248809237108E-2</v>
      </c>
      <c r="Y18" s="428">
        <v>6.760360551269165E-2</v>
      </c>
      <c r="Z18" s="428">
        <v>6.5216222288003722E-2</v>
      </c>
    </row>
    <row r="19" spans="1:26" ht="20.399999999999999" thickBot="1" x14ac:dyDescent="0.4">
      <c r="A19" s="434" t="s">
        <v>579</v>
      </c>
      <c r="B19" s="435">
        <v>9.1809889764778969</v>
      </c>
      <c r="C19" s="435">
        <v>9.248217861576034</v>
      </c>
      <c r="D19" s="435">
        <v>9.6094340755631737</v>
      </c>
      <c r="E19" s="435">
        <v>9.6283754744137173</v>
      </c>
      <c r="F19" s="435">
        <v>9.4977638284735573</v>
      </c>
      <c r="G19" s="435">
        <v>9.4596888531477532</v>
      </c>
      <c r="H19" s="435">
        <v>9.7392644700576589</v>
      </c>
      <c r="I19" s="435">
        <v>9.7878992797127111</v>
      </c>
      <c r="J19" s="435">
        <v>9.8649472120957942</v>
      </c>
      <c r="K19" s="435">
        <v>9.9651610132751145</v>
      </c>
      <c r="L19" s="435">
        <v>10.134120390643233</v>
      </c>
      <c r="M19" s="435">
        <v>10.297869666313582</v>
      </c>
      <c r="N19" s="435">
        <v>9.9193965129844184</v>
      </c>
      <c r="O19" s="435">
        <v>9.5952917305851297</v>
      </c>
      <c r="P19" s="435">
        <v>9.4186368187641456</v>
      </c>
      <c r="Q19" s="435">
        <v>9.1979842418119162</v>
      </c>
      <c r="R19" s="435">
        <v>9.2012264399991217</v>
      </c>
      <c r="S19" s="435">
        <v>9.1042331600470945</v>
      </c>
      <c r="T19" s="435">
        <v>9.1255991553844389</v>
      </c>
      <c r="U19" s="435">
        <v>9.2165617814607348</v>
      </c>
      <c r="V19" s="435">
        <v>9.4509923545064964</v>
      </c>
      <c r="W19" s="435">
        <v>9.7171965181930826</v>
      </c>
      <c r="X19" s="435">
        <v>9.457800455767309</v>
      </c>
      <c r="Y19" s="435">
        <v>9.2112690706785845</v>
      </c>
      <c r="Z19" s="435">
        <v>7.2807191827510254</v>
      </c>
    </row>
    <row r="20" spans="1:26" ht="18.600000000000001" thickBot="1" x14ac:dyDescent="0.4">
      <c r="A20" s="436" t="s">
        <v>270</v>
      </c>
      <c r="B20" s="437">
        <v>0.12355831958065321</v>
      </c>
      <c r="C20" s="437">
        <v>0.12620159975216294</v>
      </c>
      <c r="D20" s="437">
        <v>0.14414991539209412</v>
      </c>
      <c r="E20" s="437">
        <v>0.14232958678200516</v>
      </c>
      <c r="F20" s="437">
        <v>0.14422582847684934</v>
      </c>
      <c r="G20" s="437">
        <v>0.1485723797637318</v>
      </c>
      <c r="H20" s="437">
        <v>0.14750655741703131</v>
      </c>
      <c r="I20" s="437">
        <v>0.14901080984742163</v>
      </c>
      <c r="J20" s="437">
        <v>0.1544759544340015</v>
      </c>
      <c r="K20" s="437">
        <v>0.15370912373305279</v>
      </c>
      <c r="L20" s="437">
        <v>0.15828013565791538</v>
      </c>
      <c r="M20" s="438">
        <v>0.16942553049723874</v>
      </c>
      <c r="N20" s="437">
        <v>0.17006350199665041</v>
      </c>
      <c r="O20" s="437">
        <v>0.16996724769050858</v>
      </c>
      <c r="P20" s="437">
        <v>0.17059350410268931</v>
      </c>
      <c r="Q20" s="437">
        <v>0.16430117901349001</v>
      </c>
      <c r="R20" s="437">
        <v>0.16769768677647312</v>
      </c>
      <c r="S20" s="437">
        <v>0.16790592404856691</v>
      </c>
      <c r="T20" s="437">
        <v>0.17133178810599334</v>
      </c>
      <c r="U20" s="437">
        <v>0.16794545806342231</v>
      </c>
      <c r="V20" s="437">
        <v>0.1673126355860739</v>
      </c>
      <c r="W20" s="437">
        <v>0.16545485119598208</v>
      </c>
      <c r="X20" s="437">
        <v>0.15686625662715675</v>
      </c>
      <c r="Y20" s="437">
        <v>0.16137556070930045</v>
      </c>
      <c r="Z20" s="437">
        <v>0.12363732309273909</v>
      </c>
    </row>
    <row r="21" spans="1:26" ht="20.399999999999999" x14ac:dyDescent="0.35">
      <c r="A21" s="426" t="s">
        <v>580</v>
      </c>
      <c r="B21" s="428">
        <v>1.3152789612383022</v>
      </c>
      <c r="C21" s="428">
        <v>1.4639451975216753</v>
      </c>
      <c r="D21" s="428">
        <v>1.7651701988257438</v>
      </c>
      <c r="E21" s="428">
        <v>1.5969689893521626</v>
      </c>
      <c r="F21" s="428">
        <v>1.4439789423236484</v>
      </c>
      <c r="G21" s="428">
        <v>1.5650152413364535</v>
      </c>
      <c r="H21" s="428">
        <v>1.4035431997572447</v>
      </c>
      <c r="I21" s="428">
        <v>1.3413504573872235</v>
      </c>
      <c r="J21" s="428">
        <v>1.5168722215446167</v>
      </c>
      <c r="K21" s="428">
        <v>1.6247214113691106</v>
      </c>
      <c r="L21" s="428">
        <v>1.703643530553413</v>
      </c>
      <c r="M21" s="432">
        <v>1.7542304448643813</v>
      </c>
      <c r="N21" s="428">
        <v>1.7895963600248008</v>
      </c>
      <c r="O21" s="428">
        <v>1.6428628781135453</v>
      </c>
      <c r="P21" s="428">
        <v>1.4443714661468532</v>
      </c>
      <c r="Q21" s="428">
        <v>1.5665583694841372</v>
      </c>
      <c r="R21" s="428">
        <v>1.4740391273186064</v>
      </c>
      <c r="S21" s="428">
        <v>1.5440814676649237</v>
      </c>
      <c r="T21" s="428">
        <v>1.6601310283326447</v>
      </c>
      <c r="U21" s="428">
        <v>1.726661616803584</v>
      </c>
      <c r="V21" s="428">
        <v>1.8172514861284654</v>
      </c>
      <c r="W21" s="428">
        <v>1.9301456763869058</v>
      </c>
      <c r="X21" s="428">
        <v>1.9032801858527155</v>
      </c>
      <c r="Y21" s="428">
        <v>1.9080307498884812</v>
      </c>
      <c r="Z21" s="428">
        <v>0.80645739130054628</v>
      </c>
    </row>
    <row r="22" spans="1:26" ht="20.399999999999999" x14ac:dyDescent="0.35">
      <c r="A22" s="426" t="s">
        <v>581</v>
      </c>
      <c r="B22" s="428">
        <v>0.85350405514524208</v>
      </c>
      <c r="C22" s="428">
        <v>0.74161581548629651</v>
      </c>
      <c r="D22" s="428">
        <v>0.82111096338365941</v>
      </c>
      <c r="E22" s="428">
        <v>0.85372723445106535</v>
      </c>
      <c r="F22" s="428">
        <v>0.8476030861485685</v>
      </c>
      <c r="G22" s="428">
        <v>0.88499350877328342</v>
      </c>
      <c r="H22" s="428">
        <v>0.91346709830226447</v>
      </c>
      <c r="I22" s="428">
        <v>0.92582906227232309</v>
      </c>
      <c r="J22" s="428">
        <v>0.94382717636576574</v>
      </c>
      <c r="K22" s="428">
        <v>1.0037650692945463</v>
      </c>
      <c r="L22" s="428">
        <v>1.0290562233261806</v>
      </c>
      <c r="M22" s="432">
        <v>1.0266961386024667</v>
      </c>
      <c r="N22" s="428">
        <v>0.94915817633130906</v>
      </c>
      <c r="O22" s="428">
        <v>0.84485439249536431</v>
      </c>
      <c r="P22" s="428">
        <v>0.78171025827472662</v>
      </c>
      <c r="Q22" s="428">
        <v>0.7687823902594334</v>
      </c>
      <c r="R22" s="428">
        <v>0.74302725285695981</v>
      </c>
      <c r="S22" s="428">
        <v>0.74580989066763992</v>
      </c>
      <c r="T22" s="428">
        <v>0.71736889518970137</v>
      </c>
      <c r="U22" s="428">
        <v>0.70268122087397067</v>
      </c>
      <c r="V22" s="428">
        <v>0.64734791599817954</v>
      </c>
      <c r="W22" s="428">
        <v>0.68684358050968608</v>
      </c>
      <c r="X22" s="428">
        <v>0.65919631729200057</v>
      </c>
      <c r="Y22" s="428">
        <v>0.62990581244604904</v>
      </c>
      <c r="Z22" s="428">
        <v>0.34988666078695868</v>
      </c>
    </row>
    <row r="23" spans="1:26" ht="21" thickBot="1" x14ac:dyDescent="0.4">
      <c r="A23" s="426" t="s">
        <v>582</v>
      </c>
      <c r="B23" s="428">
        <v>3.4271494911698208</v>
      </c>
      <c r="C23" s="428">
        <v>4.2604584738974518</v>
      </c>
      <c r="D23" s="428">
        <v>4.2066428713968023</v>
      </c>
      <c r="E23" s="428">
        <v>4.2568414701153392</v>
      </c>
      <c r="F23" s="428">
        <v>3.8408473473594094</v>
      </c>
      <c r="G23" s="428">
        <v>3.5356576599161142</v>
      </c>
      <c r="H23" s="428">
        <v>3.7438875445134574</v>
      </c>
      <c r="I23" s="428">
        <v>3.5065964224129309</v>
      </c>
      <c r="J23" s="428">
        <v>3.3167390476888841</v>
      </c>
      <c r="K23" s="428">
        <v>3.2382946978466003</v>
      </c>
      <c r="L23" s="428">
        <v>2.9184604873674704</v>
      </c>
      <c r="M23" s="432">
        <v>3.0154014196337742</v>
      </c>
      <c r="N23" s="428">
        <v>2.8179859687477853</v>
      </c>
      <c r="O23" s="428">
        <v>2.6982181529109019</v>
      </c>
      <c r="P23" s="428">
        <v>2.5366828853931214</v>
      </c>
      <c r="Q23" s="428">
        <v>2.1580620008940943</v>
      </c>
      <c r="R23" s="428">
        <v>1.9382280927940836</v>
      </c>
      <c r="S23" s="428">
        <v>1.7922713163852251</v>
      </c>
      <c r="T23" s="428">
        <v>1.8618211867934122</v>
      </c>
      <c r="U23" s="428">
        <v>1.9793567302225443</v>
      </c>
      <c r="V23" s="428">
        <v>2.0621834628591214</v>
      </c>
      <c r="W23" s="428">
        <v>1.967028024050439</v>
      </c>
      <c r="X23" s="428">
        <v>2.0562365213625955</v>
      </c>
      <c r="Y23" s="428">
        <v>2.0408553442176198</v>
      </c>
      <c r="Z23" s="428">
        <v>1.7751209738279479</v>
      </c>
    </row>
    <row r="24" spans="1:26" ht="18.600000000000001" thickBot="1" x14ac:dyDescent="0.4">
      <c r="A24" s="439" t="s">
        <v>271</v>
      </c>
      <c r="B24" s="435">
        <v>14.900479803611915</v>
      </c>
      <c r="C24" s="435">
        <v>15.840438948233622</v>
      </c>
      <c r="D24" s="435">
        <v>16.546508024561472</v>
      </c>
      <c r="E24" s="440">
        <v>16.478242755114291</v>
      </c>
      <c r="F24" s="440">
        <v>15.774419032782031</v>
      </c>
      <c r="G24" s="440">
        <v>15.593927642937334</v>
      </c>
      <c r="H24" s="440">
        <v>15.947668870047657</v>
      </c>
      <c r="I24" s="440">
        <v>15.71068603163261</v>
      </c>
      <c r="J24" s="440">
        <v>15.796861612129062</v>
      </c>
      <c r="K24" s="440">
        <v>15.985651315518425</v>
      </c>
      <c r="L24" s="440">
        <v>15.943560767548211</v>
      </c>
      <c r="M24" s="440">
        <v>16.263623199911446</v>
      </c>
      <c r="N24" s="440">
        <v>15.646200520084964</v>
      </c>
      <c r="O24" s="440">
        <v>14.951194401795449</v>
      </c>
      <c r="P24" s="440">
        <v>14.351994932681535</v>
      </c>
      <c r="Q24" s="440">
        <v>13.855688181463071</v>
      </c>
      <c r="R24" s="440">
        <v>13.524218599745245</v>
      </c>
      <c r="S24" s="440">
        <v>13.354301758813451</v>
      </c>
      <c r="T24" s="440">
        <v>13.536252053806189</v>
      </c>
      <c r="U24" s="440">
        <v>13.793206807424257</v>
      </c>
      <c r="V24" s="440">
        <v>14.145087855078337</v>
      </c>
      <c r="W24" s="440">
        <v>14.466668650336095</v>
      </c>
      <c r="X24" s="440">
        <v>14.233379736901776</v>
      </c>
      <c r="Y24" s="440">
        <v>13.951436537940037</v>
      </c>
      <c r="Z24" s="441">
        <v>10.335821531759217</v>
      </c>
    </row>
    <row r="25" spans="1:26" ht="18.600000000000001" thickBot="1" x14ac:dyDescent="0.4">
      <c r="A25" s="442" t="s">
        <v>583</v>
      </c>
      <c r="B25" s="443">
        <v>66.657137105923866</v>
      </c>
      <c r="C25" s="444">
        <v>64.457359649352711</v>
      </c>
      <c r="D25" s="444">
        <v>64.21092893415063</v>
      </c>
      <c r="E25" s="444">
        <v>61.410067962434738</v>
      </c>
      <c r="F25" s="444">
        <v>63.854314010365528</v>
      </c>
      <c r="G25" s="444">
        <v>62.749602761896647</v>
      </c>
      <c r="H25" s="444">
        <v>58.282301059486784</v>
      </c>
      <c r="I25" s="444">
        <v>58.617668673632146</v>
      </c>
      <c r="J25" s="444">
        <v>55.99004809842333</v>
      </c>
      <c r="K25" s="444">
        <v>54.071406031220292</v>
      </c>
      <c r="L25" s="444">
        <v>56.211547569006513</v>
      </c>
      <c r="M25" s="444">
        <v>51.721548644664182</v>
      </c>
      <c r="N25" s="444">
        <v>49.81262256884888</v>
      </c>
      <c r="O25" s="444">
        <v>46.252763147667736</v>
      </c>
      <c r="P25" s="444">
        <v>49.544091663384542</v>
      </c>
      <c r="Q25" s="444">
        <v>42.896211291604125</v>
      </c>
      <c r="R25" s="445">
        <v>43.480454109832834</v>
      </c>
      <c r="S25" s="444">
        <v>41.708456376786032</v>
      </c>
      <c r="T25" s="444">
        <v>37.916957457280404</v>
      </c>
      <c r="U25" s="446">
        <v>37.055539031290387</v>
      </c>
      <c r="V25" s="444">
        <v>32.074665062925618</v>
      </c>
      <c r="W25" s="447">
        <v>30.795596808774416</v>
      </c>
      <c r="X25" s="447">
        <v>32.216853619939243</v>
      </c>
      <c r="Y25" s="447">
        <v>31.449372916862281</v>
      </c>
      <c r="Z25" s="447">
        <v>29.615671728998173</v>
      </c>
    </row>
    <row r="26" spans="1:26" ht="19.8" thickBot="1" x14ac:dyDescent="0.4">
      <c r="A26" s="448" t="s">
        <v>584</v>
      </c>
      <c r="B26" s="449">
        <v>81.557616909535781</v>
      </c>
      <c r="C26" s="444">
        <v>80.297798597586336</v>
      </c>
      <c r="D26" s="444">
        <v>80.757436958712105</v>
      </c>
      <c r="E26" s="444">
        <v>77.888310717549032</v>
      </c>
      <c r="F26" s="444">
        <v>79.628733043147562</v>
      </c>
      <c r="G26" s="444">
        <v>78.343530404833984</v>
      </c>
      <c r="H26" s="444">
        <v>74.229969929534448</v>
      </c>
      <c r="I26" s="444">
        <v>74.328354705264758</v>
      </c>
      <c r="J26" s="444">
        <v>71.786909710552393</v>
      </c>
      <c r="K26" s="444">
        <v>70.057057346738716</v>
      </c>
      <c r="L26" s="444">
        <v>72.155108336554719</v>
      </c>
      <c r="M26" s="444">
        <v>67.985171844575618</v>
      </c>
      <c r="N26" s="444">
        <v>65.45882308893384</v>
      </c>
      <c r="O26" s="444">
        <v>61.20395754946319</v>
      </c>
      <c r="P26" s="444">
        <v>63.896086596066084</v>
      </c>
      <c r="Q26" s="444">
        <v>56.751899473067198</v>
      </c>
      <c r="R26" s="445">
        <v>57.004672709578081</v>
      </c>
      <c r="S26" s="445">
        <v>55.062758135599481</v>
      </c>
      <c r="T26" s="444">
        <v>51.453209511086591</v>
      </c>
      <c r="U26" s="445">
        <v>50.848745838714642</v>
      </c>
      <c r="V26" s="445">
        <v>46.219752918003948</v>
      </c>
      <c r="W26" s="444">
        <v>45.262265459110509</v>
      </c>
      <c r="X26" s="444">
        <v>46.450233356841018</v>
      </c>
      <c r="Y26" s="444">
        <v>45.400809454802314</v>
      </c>
      <c r="Z26" s="444">
        <v>39.951493260757388</v>
      </c>
    </row>
    <row r="27" spans="1:26" ht="19.8" thickBot="1" x14ac:dyDescent="0.4">
      <c r="A27" s="448" t="s">
        <v>585</v>
      </c>
      <c r="B27" s="435">
        <v>18.269881303839004</v>
      </c>
      <c r="C27" s="435">
        <v>19.727114846097123</v>
      </c>
      <c r="D27" s="435">
        <v>20.489144588653808</v>
      </c>
      <c r="E27" s="450">
        <v>21.156246172638554</v>
      </c>
      <c r="F27" s="450">
        <v>19.809958578939739</v>
      </c>
      <c r="G27" s="450">
        <v>19.904550589381088</v>
      </c>
      <c r="H27" s="450">
        <v>21.484137586458104</v>
      </c>
      <c r="I27" s="450">
        <v>21.136867745735</v>
      </c>
      <c r="J27" s="450">
        <v>22.005211919307602</v>
      </c>
      <c r="K27" s="450">
        <v>22.81804563443113</v>
      </c>
      <c r="L27" s="450">
        <v>22.096232872636399</v>
      </c>
      <c r="M27" s="450">
        <v>23.922309466382682</v>
      </c>
      <c r="N27" s="450">
        <v>23.902355376642934</v>
      </c>
      <c r="O27" s="450">
        <v>24.428476524107687</v>
      </c>
      <c r="P27" s="450">
        <v>22.461461565574425</v>
      </c>
      <c r="Q27" s="450">
        <v>24.414492396044963</v>
      </c>
      <c r="R27" s="450">
        <v>23.724754405041729</v>
      </c>
      <c r="S27" s="450">
        <v>24.252874739631967</v>
      </c>
      <c r="T27" s="450">
        <v>26.307886684677154</v>
      </c>
      <c r="U27" s="450">
        <v>27.125952823250447</v>
      </c>
      <c r="V27" s="450">
        <v>30.603988472574482</v>
      </c>
      <c r="W27" s="450">
        <v>31.961874872138562</v>
      </c>
      <c r="X27" s="450">
        <v>30.642213630140002</v>
      </c>
      <c r="Y27" s="450">
        <v>30.729488538809104</v>
      </c>
      <c r="Z27" s="450">
        <v>25.870926686767039</v>
      </c>
    </row>
    <row r="28" spans="1:26" x14ac:dyDescent="0.35">
      <c r="A28" s="451" t="s">
        <v>586</v>
      </c>
      <c r="B28" s="421"/>
      <c r="C28" s="421"/>
      <c r="D28" s="421"/>
      <c r="E28" s="421"/>
      <c r="F28" s="421"/>
      <c r="G28" s="421"/>
      <c r="H28" s="421"/>
      <c r="I28" s="421"/>
      <c r="J28" s="421"/>
      <c r="K28" s="421"/>
      <c r="L28" s="421"/>
      <c r="M28" s="421"/>
      <c r="N28" s="421"/>
      <c r="O28" s="421"/>
      <c r="P28" s="421"/>
      <c r="Q28" s="421"/>
      <c r="R28" s="421"/>
      <c r="S28" s="421"/>
      <c r="T28" s="421"/>
      <c r="U28" s="421"/>
      <c r="V28" s="421"/>
      <c r="W28" s="421"/>
      <c r="X28" s="421"/>
      <c r="Y28" s="421"/>
      <c r="Z28" s="421"/>
    </row>
    <row r="29" spans="1:26" x14ac:dyDescent="0.35">
      <c r="A29" s="452" t="s">
        <v>272</v>
      </c>
      <c r="B29" s="421"/>
      <c r="C29" s="421"/>
      <c r="D29" s="421"/>
      <c r="E29" s="421"/>
      <c r="F29" s="421"/>
      <c r="G29" s="421"/>
      <c r="H29" s="421"/>
      <c r="I29" s="421"/>
      <c r="J29" s="421"/>
      <c r="K29" s="421"/>
      <c r="L29" s="421"/>
      <c r="M29" s="453"/>
      <c r="N29" s="453"/>
      <c r="O29" s="421"/>
      <c r="P29" s="421"/>
      <c r="Q29" s="421"/>
      <c r="R29" s="421"/>
      <c r="S29" s="421"/>
      <c r="T29" s="421"/>
      <c r="U29" s="421"/>
      <c r="V29" s="421"/>
      <c r="W29" s="421"/>
      <c r="X29" s="421"/>
      <c r="Y29" s="421"/>
      <c r="Z29" s="421"/>
    </row>
    <row r="30" spans="1:26" x14ac:dyDescent="0.35">
      <c r="A30" s="454" t="s">
        <v>273</v>
      </c>
      <c r="B30" s="455"/>
      <c r="C30" s="455"/>
      <c r="D30" s="455"/>
      <c r="E30" s="455"/>
      <c r="F30" s="455"/>
      <c r="G30" s="455"/>
      <c r="H30" s="455"/>
      <c r="I30" s="455"/>
      <c r="J30" s="455"/>
      <c r="K30" s="455"/>
      <c r="L30" s="455"/>
      <c r="M30" s="453"/>
      <c r="N30" s="453"/>
      <c r="O30" s="421"/>
      <c r="P30" s="421"/>
      <c r="Q30" s="421"/>
      <c r="R30" s="421"/>
      <c r="S30" s="421"/>
      <c r="T30" s="421"/>
      <c r="U30" s="421"/>
      <c r="V30" s="421"/>
      <c r="W30" s="421"/>
      <c r="X30" s="421"/>
      <c r="Y30" s="421"/>
      <c r="Z30" s="421"/>
    </row>
    <row r="31" spans="1:26" x14ac:dyDescent="0.35">
      <c r="A31" s="454" t="s">
        <v>274</v>
      </c>
      <c r="B31" s="455"/>
      <c r="C31" s="455"/>
      <c r="D31" s="455"/>
      <c r="E31" s="455"/>
      <c r="F31" s="455"/>
      <c r="G31" s="455"/>
      <c r="H31" s="455"/>
      <c r="I31" s="455"/>
      <c r="J31" s="455"/>
      <c r="K31" s="455"/>
      <c r="L31" s="455"/>
    </row>
    <row r="32" spans="1:26" x14ac:dyDescent="0.35">
      <c r="A32" s="456" t="s">
        <v>275</v>
      </c>
      <c r="B32" s="457"/>
      <c r="C32" s="457"/>
      <c r="D32" s="457"/>
      <c r="E32" s="457"/>
      <c r="F32" s="457"/>
      <c r="G32" s="457"/>
      <c r="H32" s="457"/>
      <c r="I32" s="421"/>
      <c r="J32" s="421"/>
      <c r="K32" s="421"/>
      <c r="L32" s="421"/>
    </row>
    <row r="33" spans="1:12" x14ac:dyDescent="0.35">
      <c r="A33" s="458" t="s">
        <v>276</v>
      </c>
      <c r="B33" s="456"/>
      <c r="C33" s="456"/>
      <c r="D33" s="456"/>
      <c r="E33" s="456"/>
      <c r="F33" s="456"/>
      <c r="G33" s="456"/>
      <c r="H33" s="453"/>
      <c r="I33" s="453"/>
      <c r="J33" s="453"/>
      <c r="K33" s="453"/>
      <c r="L33" s="453"/>
    </row>
    <row r="34" spans="1:12" x14ac:dyDescent="0.35">
      <c r="A34" s="459" t="s">
        <v>277</v>
      </c>
      <c r="B34" s="456"/>
      <c r="C34" s="456"/>
      <c r="D34" s="456"/>
      <c r="E34" s="456"/>
      <c r="F34" s="456"/>
      <c r="G34" s="456"/>
      <c r="H34" s="453"/>
      <c r="I34" s="453"/>
      <c r="J34" s="453"/>
      <c r="K34" s="453"/>
      <c r="L34" s="453"/>
    </row>
  </sheetData>
  <sheetProtection algorithmName="SHA-512" hashValue="02dIpelJ9qEb/O5UI7DmUfAbdLTKPr91CzOfLV86YIshx4zgVjfuC1F9cs3dYQ55uJyLVcTp9svp/ofgJWW8iA==" saltValue="1Ref8S9ySnIwtVc5rls7RA==" spinCount="100000" sheet="1" objects="1" scenarios="1"/>
  <mergeCells count="8">
    <mergeCell ref="A2:B2"/>
    <mergeCell ref="A3:B3"/>
    <mergeCell ref="C5:M5"/>
    <mergeCell ref="C4:M4"/>
    <mergeCell ref="C3:M3"/>
    <mergeCell ref="C2:M2"/>
    <mergeCell ref="A5:B5"/>
    <mergeCell ref="A4:B4"/>
  </mergeCells>
  <hyperlinks>
    <hyperlink ref="A29" r:id="rId1" xr:uid="{CF550B62-1752-4582-918A-AE7C797B87A4}"/>
    <hyperlink ref="C3" r:id="rId2" display="Scottish Transport Statistics No. 39 2020 Edition" xr:uid="{1FE78702-C574-45DD-ABA2-4F3ECAF16B7C}"/>
    <hyperlink ref="C3:M3" r:id="rId3" display="Scottish Transport Statistics 2022" xr:uid="{A0FC2E18-993C-42CA-9D4A-70434277D67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5F2E303D4F1D2439D4F6766F4098C8B" ma:contentTypeVersion="5" ma:contentTypeDescription="Create a new document." ma:contentTypeScope="" ma:versionID="915d23b700e0dd626fc9b70e4b4f071d">
  <xsd:schema xmlns:xsd="http://www.w3.org/2001/XMLSchema" xmlns:xs="http://www.w3.org/2001/XMLSchema" xmlns:p="http://schemas.microsoft.com/office/2006/metadata/properties" xmlns:ns2="eb8dbbb7-6de1-4957-84dd-88d235fe7bc5" xmlns:ns3="eca680fc-9381-49fb-a2b7-d363f2929609" targetNamespace="http://schemas.microsoft.com/office/2006/metadata/properties" ma:root="true" ma:fieldsID="bf49dab633ba55e079dff7f4967d9129" ns2:_="" ns3:_="">
    <xsd:import namespace="eb8dbbb7-6de1-4957-84dd-88d235fe7bc5"/>
    <xsd:import namespace="eca680fc-9381-49fb-a2b7-d363f2929609"/>
    <xsd:element name="properties">
      <xsd:complexType>
        <xsd:sequence>
          <xsd:element name="documentManagement">
            <xsd:complexType>
              <xsd:all>
                <xsd:element ref="ns2:g98fcb1e41c24d22b7a50d9b68ff167a" minOccurs="0"/>
                <xsd:element ref="ns2:TaxCatchAll" minOccurs="0"/>
                <xsd:element ref="ns2:TaxCatchAllLabel" minOccurs="0"/>
                <xsd:element ref="ns2:fca9d648a43b46669eacfabf60a2fbe9" minOccurs="0"/>
                <xsd:element ref="ns2:Project_x0020_ID"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8dbbb7-6de1-4957-84dd-88d235fe7bc5" elementFormDefault="qualified">
    <xsd:import namespace="http://schemas.microsoft.com/office/2006/documentManagement/types"/>
    <xsd:import namespace="http://schemas.microsoft.com/office/infopath/2007/PartnerControls"/>
    <xsd:element name="g98fcb1e41c24d22b7a50d9b68ff167a" ma:index="8" nillable="true" ma:taxonomy="true" ma:internalName="g98fcb1e41c24d22b7a50d9b68ff167a" ma:taxonomyFieldName="Department_x0020_Field" ma:displayName="Department Field" ma:default="" ma:fieldId="{098fcb1e-41c2-4d22-b7a5-0d9b68ff167a}" ma:taxonomyMulti="true" ma:sspId="dd3a458f-664c-47e4-8a2d-a299ea1879d7" ma:termSetId="7858bf05-adde-4fcb-b1c5-29334efe3f28"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e45ccc79-bd4a-4299-81a8-34a3b22e3ecc}" ma:internalName="TaxCatchAll" ma:showField="CatchAllData" ma:web="dc319d8d-0870-4fbc-b613-c63a59b95872">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45ccc79-bd4a-4299-81a8-34a3b22e3ecc}" ma:internalName="TaxCatchAllLabel" ma:readOnly="true" ma:showField="CatchAllDataLabel" ma:web="dc319d8d-0870-4fbc-b613-c63a59b95872">
      <xsd:complexType>
        <xsd:complexContent>
          <xsd:extension base="dms:MultiChoiceLookup">
            <xsd:sequence>
              <xsd:element name="Value" type="dms:Lookup" maxOccurs="unbounded" minOccurs="0" nillable="true"/>
            </xsd:sequence>
          </xsd:extension>
        </xsd:complexContent>
      </xsd:complexType>
    </xsd:element>
    <xsd:element name="fca9d648a43b46669eacfabf60a2fbe9" ma:index="12" nillable="true" ma:taxonomy="true" ma:internalName="fca9d648a43b46669eacfabf60a2fbe9" ma:taxonomyFieldName="Location_x0020_Field" ma:displayName="Location Field" ma:default="" ma:fieldId="{fca9d648-a43b-4666-9eac-fabf60a2fbe9}" ma:taxonomyMulti="true" ma:sspId="dd3a458f-664c-47e4-8a2d-a299ea1879d7" ma:termSetId="0f988343-7ceb-4066-9f25-d5edfaa3f0cf" ma:anchorId="00000000-0000-0000-0000-000000000000" ma:open="false" ma:isKeyword="false">
      <xsd:complexType>
        <xsd:sequence>
          <xsd:element ref="pc:Terms" minOccurs="0" maxOccurs="1"/>
        </xsd:sequence>
      </xsd:complexType>
    </xsd:element>
    <xsd:element name="Project_x0020_ID" ma:index="14" nillable="true" ma:displayName="Project ID" ma:default="" ma:internalName="Project_x0020_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a680fc-9381-49fb-a2b7-d363f2929609"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b8dbbb7-6de1-4957-84dd-88d235fe7bc5" xsi:nil="true"/>
    <fca9d648a43b46669eacfabf60a2fbe9 xmlns="eb8dbbb7-6de1-4957-84dd-88d235fe7bc5">
      <Terms xmlns="http://schemas.microsoft.com/office/infopath/2007/PartnerControls"/>
    </fca9d648a43b46669eacfabf60a2fbe9>
    <g98fcb1e41c24d22b7a50d9b68ff167a xmlns="eb8dbbb7-6de1-4957-84dd-88d235fe7bc5">
      <Terms xmlns="http://schemas.microsoft.com/office/infopath/2007/PartnerControls"/>
    </g98fcb1e41c24d22b7a50d9b68ff167a>
    <Project_x0020_ID xmlns="eb8dbbb7-6de1-4957-84dd-88d235fe7bc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Y D A A B Q S w M E F A A C A A g A 7 H k O V 0 9 e h C a m A A A A 9 g A A A B I A H A B D b 2 5 m a W c v U G F j a 2 F n Z S 5 4 b W w g o h g A K K A U A A A A A A A A A A A A A A A A A A A A A A A A A A A A h Y + 9 D o I w H M R f h X S n H 8 i g 5 E 9 J d H C R x M T E u D a l Q i M U Q 4 v l 3 R x 8 J F 9 B j K J u j n f 3 u + T u f r 1 B N j R 1 c F G d 1 a 1 J E c M U B c r I t t C m T F H v j u E c Z R y 2 Q p 5 E q Y I R N j Y Z r E 5 R 5 d w 5 I c R 7 j / 0 M t 1 1 J I k o Z O e S b n a x U I 0 J t r B N G K v R p F f 9 b i M P + N Y Z H m L E F j m m M K Z D J h F y b L x C N e 5 / p j w m r v n Z 9 p 7 g y 4 X o J Z J J A 3 h / 4 A 1 B L A w Q U A A I A C A D s e Q 5 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H k O V y i K R 7 g O A A A A E Q A A A B M A H A B G b 3 J t d W x h c y 9 T Z W N 0 a W 9 u M S 5 t I K I Y A C i g F A A A A A A A A A A A A A A A A A A A A A A A A A A A A C t O T S 7 J z M 9 T C I b Q h t Y A U E s B A i 0 A F A A C A A g A 7 H k O V 0 9 e h C a m A A A A 9 g A A A B I A A A A A A A A A A A A A A A A A A A A A A E N v b m Z p Z y 9 Q Y W N r Y W d l L n h t b F B L A Q I t A B Q A A g A I A O x 5 D l c P y u m r p A A A A O k A A A A T A A A A A A A A A A A A A A A A A P I A A A B b Q 2 9 u d G V u d F 9 U e X B l c 1 0 u e G 1 s U E s B A i 0 A F A A C A A g A 7 H k O 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B k d O E D d A 1 L l 9 w i x x T 9 B 4 E A A A A A A g A A A A A A A 2 Y A A M A A A A A Q A A A A W V E r J S q 1 f s U 3 w c 4 + E n i g / Q A A A A A E g A A A o A A A A B A A A A B p n B r f P J s p 7 n b 2 N v / 2 n j b e U A A A A B b a d r O C X X b E u 0 m D X q k a 2 X x Y x e K J r p 9 E W G B 4 m a h i Y P 7 4 9 U 6 C u 9 K W O c y / 1 K J l H d j B 1 F 0 c c T K H 6 X Z j o Q D 9 o c O O n U x e a T b a 3 z l q C u M N l s S z R e 5 7 F A A A A I e 7 6 5 h R + A 3 h C J 5 6 Z x b B n s F Y 8 S l z < / D a t a M a s h u p > 
</file>

<file path=customXml/item5.xml><?xml version="1.0" encoding="utf-8"?>
<?mso-contentType ?>
<SharedContentType xmlns="Microsoft.SharePoint.Taxonomy.ContentTypeSync" SourceId="dd3a458f-664c-47e4-8a2d-a299ea1879d7" ContentTypeId="0x0101" PreviousValue="false"/>
</file>

<file path=customXml/itemProps1.xml><?xml version="1.0" encoding="utf-8"?>
<ds:datastoreItem xmlns:ds="http://schemas.openxmlformats.org/officeDocument/2006/customXml" ds:itemID="{61EEB531-8A63-465D-99E5-4C4B2CBDD3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8dbbb7-6de1-4957-84dd-88d235fe7bc5"/>
    <ds:schemaRef ds:uri="eca680fc-9381-49fb-a2b7-d363f29296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72C3D28-1011-46B3-95D6-7545C293264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ca680fc-9381-49fb-a2b7-d363f2929609"/>
    <ds:schemaRef ds:uri="http://purl.org/dc/terms/"/>
    <ds:schemaRef ds:uri="eb8dbbb7-6de1-4957-84dd-88d235fe7bc5"/>
    <ds:schemaRef ds:uri="http://www.w3.org/XML/1998/namespace"/>
    <ds:schemaRef ds:uri="http://purl.org/dc/dcmitype/"/>
  </ds:schemaRefs>
</ds:datastoreItem>
</file>

<file path=customXml/itemProps3.xml><?xml version="1.0" encoding="utf-8"?>
<ds:datastoreItem xmlns:ds="http://schemas.openxmlformats.org/officeDocument/2006/customXml" ds:itemID="{0C41DFA1-0F12-48FE-98D9-DA64D10103C3}">
  <ds:schemaRefs>
    <ds:schemaRef ds:uri="http://schemas.microsoft.com/sharepoint/v3/contenttype/forms"/>
  </ds:schemaRefs>
</ds:datastoreItem>
</file>

<file path=customXml/itemProps4.xml><?xml version="1.0" encoding="utf-8"?>
<ds:datastoreItem xmlns:ds="http://schemas.openxmlformats.org/officeDocument/2006/customXml" ds:itemID="{AE122365-251F-4F7C-8D54-0F55DCCD52AD}">
  <ds:schemaRefs>
    <ds:schemaRef ds:uri="http://schemas.microsoft.com/DataMashup"/>
  </ds:schemaRefs>
</ds:datastoreItem>
</file>

<file path=customXml/itemProps5.xml><?xml version="1.0" encoding="utf-8"?>
<ds:datastoreItem xmlns:ds="http://schemas.openxmlformats.org/officeDocument/2006/customXml" ds:itemID="{8655B1B5-70ED-4430-920A-58D8EE727FDB}">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14</vt:i4>
      </vt:variant>
    </vt:vector>
  </HeadingPairs>
  <TitlesOfParts>
    <vt:vector size="14" baseType="lpstr">
      <vt:lpstr>Main Dashboard</vt:lpstr>
      <vt:lpstr>QA</vt:lpstr>
      <vt:lpstr>Navigation</vt:lpstr>
      <vt:lpstr>Dashboard calculations</vt:lpstr>
      <vt:lpstr>Tatis Tables (2021)</vt:lpstr>
      <vt:lpstr>Historical Transport Emissions</vt:lpstr>
      <vt:lpstr>gCO2e for various Transport</vt:lpstr>
      <vt:lpstr>2023 ghg conversion factors</vt:lpstr>
      <vt:lpstr>GG emissions by transport type</vt:lpstr>
      <vt:lpstr>Scottish Fleet Size</vt:lpstr>
      <vt:lpstr>Cold Start Emissions</vt:lpstr>
      <vt:lpstr>Data Validation tables</vt:lpstr>
      <vt:lpstr>Scottish Population</vt:lpstr>
      <vt:lpstr>Background lists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Seán Fortune</cp:lastModifiedBy>
  <dcterms:modified xsi:type="dcterms:W3CDTF">2023-11-15T09:46:35Z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ocation Field">
    <vt:lpwstr/>
  </property>
  <property fmtid="{D5CDD505-2E9C-101B-9397-08002B2CF9AE}" pid="3" name="ContentTypeId">
    <vt:lpwstr>0x01010095F2E303D4F1D2439D4F6766F4098C8B</vt:lpwstr>
  </property>
  <property fmtid="{D5CDD505-2E9C-101B-9397-08002B2CF9AE}" pid="4" name="Department Field">
    <vt:lpwstr/>
  </property>
</Properties>
</file>